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DS218J\dossier\ICE1\ICE\Montesquieu-Volvestre\AO-2022\documents def\"/>
    </mc:Choice>
  </mc:AlternateContent>
  <xr:revisionPtr revIDLastSave="0" documentId="13_ncr:1_{8B52BC6A-6AEE-47CE-8C78-035E29D87CF6}" xr6:coauthVersionLast="47" xr6:coauthVersionMax="47" xr10:uidLastSave="{00000000-0000-0000-0000-000000000000}"/>
  <bookViews>
    <workbookView xWindow="-120" yWindow="-120" windowWidth="38640" windowHeight="21240" xr2:uid="{897BAC1F-582E-40DC-854D-785A67729F95}"/>
  </bookViews>
  <sheets>
    <sheet name="Réponse technique" sheetId="4" r:id="rId1"/>
    <sheet name="Fichier Client" sheetId="3" r:id="rId2"/>
    <sheet name="BPU-BAT" sheetId="1" r:id="rId3"/>
    <sheet name="BPU-EP" sheetId="5" r:id="rId4"/>
  </sheets>
  <externalReferences>
    <externalReference r:id="rId5"/>
    <externalReference r:id="rId6"/>
  </externalReferences>
  <definedNames>
    <definedName name="_xlnm._FilterDatabase" localSheetId="1" hidden="1">'Fichier Client'!$A$5:$X$80</definedName>
    <definedName name="BL_CAL_2021">#REF!</definedName>
    <definedName name="BL_CAL_2022">#REF!</definedName>
    <definedName name="Coeff_BT_LU_CS">[1]Paramètres!$B$57:$E$57</definedName>
    <definedName name="mdp" localSheetId="1">[1]Paramètres!#REF!</definedName>
    <definedName name="mdp">[1]Paramètres!#REF!</definedName>
    <definedName name="nb_sites_C3">[2]HTA!$F$1</definedName>
    <definedName name="nb_sites_C4">[2]BT!$F$1</definedName>
    <definedName name="PL_CAL_2021">#REF!</definedName>
    <definedName name="PL_CAL_2022">#REF!</definedName>
    <definedName name="Prix_Arenh_2021">#REF!</definedName>
    <definedName name="Prix_Arenh_2022">#REF!</definedName>
    <definedName name="Prix_BL2021" localSheetId="3">'BPU-EP'!#REF!</definedName>
    <definedName name="Prix_BL2021">'BPU-BAT'!#REF!</definedName>
    <definedName name="Prix_PL2021" localSheetId="3">'BPU-EP'!#REF!</definedName>
    <definedName name="Prix_PL2021">'BPU-BAT'!#REF!</definedName>
    <definedName name="start_classe_temporelle" localSheetId="1">#REF!</definedName>
    <definedName name="start_classe_temporelle" localSheetId="0">#REF!</definedName>
    <definedName name="start_classe_temporelle">#REF!</definedName>
    <definedName name="start_date_deb" localSheetId="1">#REF!</definedName>
    <definedName name="start_date_deb" localSheetId="0">#REF!</definedName>
    <definedName name="start_date_deb">#REF!</definedName>
    <definedName name="start_date_fin" localSheetId="1">#REF!</definedName>
    <definedName name="start_date_fin" localSheetId="0">#REF!</definedName>
    <definedName name="start_date_fin">#REF!</definedName>
    <definedName name="start_FTA" localSheetId="1">#REF!</definedName>
    <definedName name="start_FTA" localSheetId="0">#REF!</definedName>
    <definedName name="start_FTA">#REF!</definedName>
    <definedName name="start_grandeur" localSheetId="1">#REF!</definedName>
    <definedName name="start_grandeur" localSheetId="0">#REF!</definedName>
    <definedName name="start_grandeur">#REF!</definedName>
    <definedName name="start_grille" localSheetId="1">#REF!</definedName>
    <definedName name="start_grille" localSheetId="0">#REF!</definedName>
    <definedName name="start_grille">#REF!</definedName>
    <definedName name="start_PRM" localSheetId="1">#REF!</definedName>
    <definedName name="start_PRM" localSheetId="0">#REF!</definedName>
    <definedName name="start_PRM">#REF!</definedName>
    <definedName name="TC_Inf36">[2]TC!$H$2</definedName>
    <definedName name="TC_Sup36">[2]TC!$I$2</definedName>
    <definedName name="TD_Inf36">[2]TD!$D$2</definedName>
    <definedName name="TD_Sup36">[2]TD!$E$2</definedName>
    <definedName name="wrn.Print._.Output." localSheetId="0" hidden="1">{#N/A,#N/A,FALSE,"OUTPUT SHEET "}</definedName>
    <definedName name="wrn.Print._.Output." hidden="1">{#N/A,#N/A,FALSE,"OUTPUT SHEET "}</definedName>
    <definedName name="_xlnm.Print_Area" localSheetId="1">'Fichier Client'!$A$1:$M$60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9" i="5" l="1"/>
  <c r="AC34" i="5"/>
  <c r="AC33" i="5"/>
  <c r="AA34" i="5"/>
  <c r="AA33" i="5"/>
  <c r="X33" i="5"/>
  <c r="W34" i="5"/>
  <c r="W33" i="5"/>
  <c r="V34" i="5"/>
  <c r="V33" i="5"/>
  <c r="U34" i="5"/>
  <c r="U33" i="5"/>
  <c r="S25" i="5"/>
  <c r="T34" i="5"/>
  <c r="T33" i="5"/>
  <c r="S35" i="5"/>
  <c r="S34" i="5"/>
  <c r="S33" i="5"/>
  <c r="R34" i="5"/>
  <c r="R33" i="5"/>
  <c r="C25" i="5"/>
  <c r="C17" i="5"/>
  <c r="O9" i="1"/>
  <c r="C45" i="1"/>
  <c r="C44" i="1"/>
  <c r="C43" i="1"/>
  <c r="C37" i="1"/>
  <c r="C36" i="1"/>
  <c r="C35" i="1"/>
  <c r="S84" i="3"/>
  <c r="U83" i="3"/>
  <c r="T83" i="3"/>
  <c r="S83" i="3"/>
  <c r="R84" i="3"/>
  <c r="R83" i="3"/>
  <c r="D28" i="5"/>
  <c r="S27" i="5"/>
  <c r="Q27" i="5"/>
  <c r="S26" i="5"/>
  <c r="Q26" i="5"/>
  <c r="E26" i="5"/>
  <c r="W25" i="5"/>
  <c r="W28" i="5" s="1"/>
  <c r="Q25" i="5"/>
  <c r="N25" i="5"/>
  <c r="Q22" i="5"/>
  <c r="Z22" i="5" s="1"/>
  <c r="D20" i="5"/>
  <c r="S19" i="5"/>
  <c r="T19" i="5" s="1"/>
  <c r="Q19" i="5"/>
  <c r="R19" i="5" s="1"/>
  <c r="V19" i="5"/>
  <c r="U18" i="5"/>
  <c r="S18" i="5"/>
  <c r="T18" i="5" s="1"/>
  <c r="Q18" i="5"/>
  <c r="R18" i="5" s="1"/>
  <c r="E18" i="5"/>
  <c r="V18" i="5"/>
  <c r="W17" i="5"/>
  <c r="W20" i="5" s="1"/>
  <c r="S17" i="5"/>
  <c r="Q17" i="5"/>
  <c r="N17" i="5"/>
  <c r="Q14" i="5"/>
  <c r="Z14" i="5" s="1"/>
  <c r="R25" i="5" l="1"/>
  <c r="R28" i="5" s="1"/>
  <c r="T25" i="5"/>
  <c r="R17" i="5"/>
  <c r="R20" i="5" s="1"/>
  <c r="T17" i="5"/>
  <c r="V26" i="5"/>
  <c r="R26" i="5"/>
  <c r="C20" i="5"/>
  <c r="S20" i="5" s="1"/>
  <c r="T26" i="5"/>
  <c r="R27" i="5"/>
  <c r="U26" i="5"/>
  <c r="W35" i="5"/>
  <c r="T20" i="5"/>
  <c r="X18" i="5"/>
  <c r="T27" i="5"/>
  <c r="V27" i="5"/>
  <c r="U27" i="5"/>
  <c r="E27" i="5"/>
  <c r="U25" i="5"/>
  <c r="U17" i="5"/>
  <c r="E19" i="5"/>
  <c r="E25" i="5"/>
  <c r="V25" i="5"/>
  <c r="C28" i="5"/>
  <c r="E17" i="5"/>
  <c r="V17" i="5"/>
  <c r="V20" i="5" s="1"/>
  <c r="U19" i="5"/>
  <c r="T28" i="5" l="1"/>
  <c r="X26" i="5"/>
  <c r="Q20" i="5"/>
  <c r="X19" i="5"/>
  <c r="O17" i="5"/>
  <c r="AB17" i="5" s="1"/>
  <c r="AC17" i="5" s="1"/>
  <c r="Q28" i="5"/>
  <c r="O25" i="5"/>
  <c r="U28" i="5"/>
  <c r="T35" i="5"/>
  <c r="E20" i="5"/>
  <c r="X17" i="5"/>
  <c r="X20" i="5" s="1"/>
  <c r="V28" i="5"/>
  <c r="V35" i="5" s="1"/>
  <c r="X27" i="5"/>
  <c r="S28" i="5"/>
  <c r="X25" i="5"/>
  <c r="X28" i="5" s="1"/>
  <c r="E28" i="5"/>
  <c r="U20" i="5"/>
  <c r="AB18" i="5" l="1"/>
  <c r="AC18" i="5" s="1"/>
  <c r="Z17" i="5"/>
  <c r="AB19" i="5"/>
  <c r="AC19" i="5" s="1"/>
  <c r="Z19" i="5"/>
  <c r="AA19" i="5" s="1"/>
  <c r="Z18" i="5"/>
  <c r="AA18" i="5" s="1"/>
  <c r="U35" i="5"/>
  <c r="X34" i="5"/>
  <c r="Z26" i="5"/>
  <c r="AA26" i="5" s="1"/>
  <c r="Z27" i="5"/>
  <c r="AA27" i="5" s="1"/>
  <c r="AB26" i="5"/>
  <c r="AC26" i="5" s="1"/>
  <c r="Z25" i="5"/>
  <c r="AB25" i="5"/>
  <c r="AB27" i="5"/>
  <c r="AC27" i="5" s="1"/>
  <c r="AA17" i="5"/>
  <c r="R35" i="5"/>
  <c r="X35" i="5"/>
  <c r="AD18" i="5" l="1"/>
  <c r="AD19" i="5"/>
  <c r="AC20" i="5"/>
  <c r="AB20" i="5"/>
  <c r="Z20" i="5"/>
  <c r="AA20" i="5"/>
  <c r="AD17" i="5"/>
  <c r="AD27" i="5"/>
  <c r="Z28" i="5"/>
  <c r="AA25" i="5"/>
  <c r="AC25" i="5"/>
  <c r="AC28" i="5" s="1"/>
  <c r="AB28" i="5"/>
  <c r="AD26" i="5"/>
  <c r="W1" i="3"/>
  <c r="C29" i="1" s="1"/>
  <c r="V1" i="3"/>
  <c r="C28" i="1" s="1"/>
  <c r="U1" i="3"/>
  <c r="C27" i="1" s="1"/>
  <c r="T1" i="3"/>
  <c r="C26" i="1" s="1"/>
  <c r="S32" i="3"/>
  <c r="S29" i="3"/>
  <c r="S39" i="3"/>
  <c r="S28" i="3"/>
  <c r="S33" i="3"/>
  <c r="S27" i="3"/>
  <c r="S38" i="3"/>
  <c r="S15" i="3"/>
  <c r="S26" i="3"/>
  <c r="S18" i="3"/>
  <c r="S31" i="3"/>
  <c r="S25" i="3"/>
  <c r="S13" i="3"/>
  <c r="S37" i="3"/>
  <c r="S36" i="3"/>
  <c r="S17" i="3"/>
  <c r="S30" i="3"/>
  <c r="S24" i="3"/>
  <c r="S11" i="3"/>
  <c r="S23" i="3"/>
  <c r="S35" i="3"/>
  <c r="S22" i="3"/>
  <c r="S10" i="3"/>
  <c r="S34" i="3"/>
  <c r="S20" i="3"/>
  <c r="S19" i="3"/>
  <c r="S9" i="3"/>
  <c r="S8" i="3"/>
  <c r="U40" i="3"/>
  <c r="U2" i="3" s="1"/>
  <c r="T40" i="3"/>
  <c r="T2" i="3" s="1"/>
  <c r="S12" i="3"/>
  <c r="S41" i="3"/>
  <c r="AD20" i="5" l="1"/>
  <c r="AA28" i="5"/>
  <c r="AD25" i="5"/>
  <c r="AD28" i="5" s="1"/>
  <c r="AC35" i="5"/>
  <c r="AD34" i="5"/>
  <c r="C19" i="1"/>
  <c r="C20" i="1"/>
  <c r="C17" i="1"/>
  <c r="C18" i="1"/>
  <c r="S42" i="3"/>
  <c r="S63" i="3"/>
  <c r="S64" i="3"/>
  <c r="S62" i="3"/>
  <c r="S77" i="3"/>
  <c r="B1" i="3"/>
  <c r="O8" i="1" s="1"/>
  <c r="B2" i="3"/>
  <c r="S51" i="3"/>
  <c r="S60" i="3"/>
  <c r="S75" i="3"/>
  <c r="S74" i="3"/>
  <c r="S59" i="3"/>
  <c r="S44" i="3"/>
  <c r="S58" i="3"/>
  <c r="S73" i="3"/>
  <c r="S43" i="3"/>
  <c r="S72" i="3"/>
  <c r="S57" i="3"/>
  <c r="S56" i="3"/>
  <c r="S71" i="3"/>
  <c r="S70" i="3"/>
  <c r="S55" i="3"/>
  <c r="S50" i="3"/>
  <c r="S69" i="3"/>
  <c r="S54" i="3"/>
  <c r="S49" i="3"/>
  <c r="S48" i="3"/>
  <c r="S80" i="3"/>
  <c r="S76" i="3"/>
  <c r="AA35" i="5" l="1"/>
  <c r="AD33" i="5"/>
  <c r="AD35" i="5" s="1"/>
  <c r="B3" i="3"/>
  <c r="S79" i="3" l="1"/>
  <c r="S47" i="3"/>
  <c r="S68" i="3"/>
  <c r="S53" i="3"/>
  <c r="S67" i="3"/>
  <c r="S66" i="3"/>
  <c r="S65" i="3"/>
  <c r="S78" i="3"/>
  <c r="S52" i="3"/>
  <c r="X52" i="3" s="1"/>
  <c r="S46" i="3"/>
  <c r="X46" i="3" s="1"/>
  <c r="S45" i="3"/>
  <c r="X56" i="3"/>
  <c r="X57" i="3"/>
  <c r="X72" i="3"/>
  <c r="X43" i="3"/>
  <c r="X73" i="3"/>
  <c r="X58" i="3"/>
  <c r="X44" i="3"/>
  <c r="X59" i="3"/>
  <c r="X74" i="3"/>
  <c r="X75" i="3"/>
  <c r="X60" i="3"/>
  <c r="X51" i="3"/>
  <c r="X77" i="3"/>
  <c r="X61" i="3"/>
  <c r="X62" i="3"/>
  <c r="X64" i="3"/>
  <c r="X63" i="3"/>
  <c r="J7" i="3"/>
  <c r="J6" i="3"/>
  <c r="J52" i="3"/>
  <c r="J46" i="3"/>
  <c r="J45" i="3"/>
  <c r="J63" i="3"/>
  <c r="J64" i="3"/>
  <c r="J62" i="3"/>
  <c r="J61" i="3"/>
  <c r="J77" i="3"/>
  <c r="J51" i="3"/>
  <c r="J60" i="3"/>
  <c r="J75" i="3"/>
  <c r="J74" i="3"/>
  <c r="J59" i="3"/>
  <c r="J44" i="3"/>
  <c r="J58" i="3"/>
  <c r="J73" i="3"/>
  <c r="J43" i="3"/>
  <c r="J72" i="3"/>
  <c r="J57" i="3"/>
  <c r="J56" i="3"/>
  <c r="J71" i="3"/>
  <c r="J70" i="3"/>
  <c r="J55" i="3"/>
  <c r="J50" i="3"/>
  <c r="J69" i="3"/>
  <c r="J54" i="3"/>
  <c r="J49" i="3"/>
  <c r="J48" i="3"/>
  <c r="J80" i="3"/>
  <c r="J76" i="3"/>
  <c r="J79" i="3"/>
  <c r="J47" i="3"/>
  <c r="J68" i="3"/>
  <c r="J67" i="3"/>
  <c r="J53" i="3"/>
  <c r="J66" i="3"/>
  <c r="J65" i="3"/>
  <c r="J78" i="3"/>
  <c r="J42" i="3"/>
  <c r="J41" i="3"/>
  <c r="J32" i="3"/>
  <c r="J29" i="3"/>
  <c r="J39" i="3"/>
  <c r="J28" i="3"/>
  <c r="J33" i="3"/>
  <c r="J16" i="3"/>
  <c r="J27" i="3"/>
  <c r="J38" i="3"/>
  <c r="J15" i="3"/>
  <c r="J26" i="3"/>
  <c r="J18" i="3"/>
  <c r="J31" i="3"/>
  <c r="J25" i="3"/>
  <c r="J37" i="3"/>
  <c r="J14" i="3"/>
  <c r="J13" i="3"/>
  <c r="J40" i="3"/>
  <c r="J12" i="3"/>
  <c r="J36" i="3"/>
  <c r="J17" i="3"/>
  <c r="J30" i="3"/>
  <c r="J24" i="3"/>
  <c r="J11" i="3"/>
  <c r="J23" i="3"/>
  <c r="J35" i="3"/>
  <c r="J22" i="3"/>
  <c r="J10" i="3"/>
  <c r="J34" i="3"/>
  <c r="J21" i="3"/>
  <c r="J20" i="3"/>
  <c r="J19" i="3"/>
  <c r="J9" i="3"/>
  <c r="J8" i="3"/>
  <c r="X45" i="3" l="1"/>
  <c r="S2" i="3"/>
  <c r="X69" i="3"/>
  <c r="X54" i="3"/>
  <c r="V45" i="1"/>
  <c r="U45" i="1"/>
  <c r="S45" i="1"/>
  <c r="T45" i="1" s="1"/>
  <c r="Q45" i="1"/>
  <c r="R45" i="1" s="1"/>
  <c r="V44" i="1"/>
  <c r="U44" i="1"/>
  <c r="S44" i="1"/>
  <c r="T44" i="1" s="1"/>
  <c r="Q44" i="1"/>
  <c r="S43" i="1"/>
  <c r="Q43" i="1"/>
  <c r="V36" i="1"/>
  <c r="U36" i="1"/>
  <c r="S36" i="1"/>
  <c r="T36" i="1" s="1"/>
  <c r="V37" i="1"/>
  <c r="U37" i="1"/>
  <c r="S37" i="1"/>
  <c r="T37" i="1" s="1"/>
  <c r="Q37" i="1"/>
  <c r="R37" i="1" s="1"/>
  <c r="Q36" i="1"/>
  <c r="S35" i="1"/>
  <c r="Q35" i="1"/>
  <c r="S27" i="1"/>
  <c r="U27" i="1"/>
  <c r="V27" i="1"/>
  <c r="V29" i="1"/>
  <c r="U29" i="1"/>
  <c r="S29" i="1"/>
  <c r="T29" i="1" s="1"/>
  <c r="Q29" i="1"/>
  <c r="R29" i="1" s="1"/>
  <c r="V28" i="1"/>
  <c r="U28" i="1"/>
  <c r="S28" i="1"/>
  <c r="T28" i="1" s="1"/>
  <c r="Q28" i="1"/>
  <c r="R28" i="1" s="1"/>
  <c r="Q27" i="1"/>
  <c r="R27" i="1" s="1"/>
  <c r="V26" i="1"/>
  <c r="U26" i="1"/>
  <c r="S26" i="1"/>
  <c r="T26" i="1" s="1"/>
  <c r="Q26" i="1"/>
  <c r="R26" i="1" s="1"/>
  <c r="V20" i="1"/>
  <c r="U20" i="1"/>
  <c r="S20" i="1"/>
  <c r="T20" i="1" s="1"/>
  <c r="S19" i="1"/>
  <c r="T19" i="1" s="1"/>
  <c r="S18" i="1"/>
  <c r="T18" i="1" s="1"/>
  <c r="Q18" i="1"/>
  <c r="R18" i="1" s="1"/>
  <c r="U18" i="1"/>
  <c r="V18" i="1"/>
  <c r="Q19" i="1"/>
  <c r="R19" i="1" s="1"/>
  <c r="U19" i="1"/>
  <c r="V19" i="1"/>
  <c r="Q20" i="1"/>
  <c r="R20" i="1" s="1"/>
  <c r="V17" i="1"/>
  <c r="U17" i="1"/>
  <c r="S17" i="1"/>
  <c r="T17" i="1" s="1"/>
  <c r="Q17" i="1"/>
  <c r="R17" i="1" s="1"/>
  <c r="Q40" i="1"/>
  <c r="Z40" i="1" s="1"/>
  <c r="Q32" i="1"/>
  <c r="Z32" i="1" s="1"/>
  <c r="Q23" i="1"/>
  <c r="Z23" i="1" s="1"/>
  <c r="Q14" i="1"/>
  <c r="Z14" i="1" s="1"/>
  <c r="R35" i="1" l="1"/>
  <c r="U21" i="1"/>
  <c r="T43" i="1"/>
  <c r="T27" i="1"/>
  <c r="R44" i="1"/>
  <c r="T46" i="1"/>
  <c r="R36" i="1"/>
  <c r="V21" i="1"/>
  <c r="U30" i="1"/>
  <c r="V30" i="1"/>
  <c r="R30" i="1"/>
  <c r="R21" i="1"/>
  <c r="V43" i="1" l="1"/>
  <c r="V46" i="1" s="1"/>
  <c r="V52" i="1" s="1"/>
  <c r="U43" i="1"/>
  <c r="U46" i="1" s="1"/>
  <c r="U52" i="1" s="1"/>
  <c r="R43" i="1"/>
  <c r="R46" i="1" s="1"/>
  <c r="S52" i="1" s="1"/>
  <c r="V35" i="1"/>
  <c r="V38" i="1" s="1"/>
  <c r="V51" i="1" s="1"/>
  <c r="U35" i="1"/>
  <c r="U38" i="1" s="1"/>
  <c r="U51" i="1" s="1"/>
  <c r="R38" i="1"/>
  <c r="S51" i="1" s="1"/>
  <c r="S53" i="1" s="1"/>
  <c r="T35" i="1"/>
  <c r="T38" i="1" s="1"/>
  <c r="T30" i="1"/>
  <c r="T52" i="1" s="1"/>
  <c r="T21" i="1"/>
  <c r="U53" i="1" l="1"/>
  <c r="V53" i="1"/>
  <c r="T51" i="1"/>
  <c r="T53" i="1" s="1"/>
  <c r="W17" i="1"/>
  <c r="W21" i="1" s="1"/>
  <c r="W51" i="1" s="1"/>
  <c r="W26" i="1"/>
  <c r="W30" i="1" s="1"/>
  <c r="W43" i="1"/>
  <c r="W46" i="1" s="1"/>
  <c r="W35" i="1"/>
  <c r="W38" i="1" s="1"/>
  <c r="D46" i="1"/>
  <c r="C46" i="1"/>
  <c r="E45" i="1"/>
  <c r="X45" i="1" s="1"/>
  <c r="E44" i="1"/>
  <c r="X44" i="1" s="1"/>
  <c r="N43" i="1"/>
  <c r="E43" i="1"/>
  <c r="D30" i="1"/>
  <c r="C30" i="1"/>
  <c r="E29" i="1"/>
  <c r="X29" i="1" s="1"/>
  <c r="E28" i="1"/>
  <c r="X28" i="1" s="1"/>
  <c r="E27" i="1"/>
  <c r="X27" i="1" s="1"/>
  <c r="N26" i="1"/>
  <c r="E26" i="1"/>
  <c r="W52" i="1" l="1"/>
  <c r="X43" i="1"/>
  <c r="X46" i="1" s="1"/>
  <c r="S46" i="1"/>
  <c r="Q46" i="1"/>
  <c r="X26" i="1"/>
  <c r="X30" i="1" s="1"/>
  <c r="Q30" i="1"/>
  <c r="S30" i="1"/>
  <c r="E30" i="1"/>
  <c r="O26" i="1"/>
  <c r="E46" i="1"/>
  <c r="O43" i="1"/>
  <c r="R52" i="1" l="1"/>
  <c r="AB26" i="1"/>
  <c r="AB29" i="1"/>
  <c r="AC29" i="1" s="1"/>
  <c r="AB28" i="1"/>
  <c r="AC28" i="1" s="1"/>
  <c r="AB27" i="1"/>
  <c r="AC27" i="1" s="1"/>
  <c r="AB43" i="1"/>
  <c r="AB45" i="1"/>
  <c r="AC45" i="1" s="1"/>
  <c r="AB44" i="1"/>
  <c r="AC44" i="1" s="1"/>
  <c r="W53" i="1"/>
  <c r="X52" i="1"/>
  <c r="Z29" i="1"/>
  <c r="AA29" i="1" s="1"/>
  <c r="Z26" i="1"/>
  <c r="AA26" i="1" s="1"/>
  <c r="Z27" i="1"/>
  <c r="AA27" i="1" s="1"/>
  <c r="Z28" i="1"/>
  <c r="AA28" i="1" s="1"/>
  <c r="Z43" i="1"/>
  <c r="AA43" i="1" s="1"/>
  <c r="Z44" i="1"/>
  <c r="AA44" i="1" s="1"/>
  <c r="Z45" i="1"/>
  <c r="AA45" i="1" s="1"/>
  <c r="AC43" i="1"/>
  <c r="AC26" i="1"/>
  <c r="AC46" i="1" l="1"/>
  <c r="AB46" i="1"/>
  <c r="AD28" i="1"/>
  <c r="AD45" i="1"/>
  <c r="AD27" i="1"/>
  <c r="AD44" i="1"/>
  <c r="AD26" i="1"/>
  <c r="AD43" i="1"/>
  <c r="AD29" i="1"/>
  <c r="Z46" i="1"/>
  <c r="Z30" i="1"/>
  <c r="AB30" i="1"/>
  <c r="AC30" i="1"/>
  <c r="AC52" i="1" s="1"/>
  <c r="X6" i="3"/>
  <c r="X7" i="3"/>
  <c r="X19" i="3"/>
  <c r="X21" i="3"/>
  <c r="X9" i="3"/>
  <c r="X8" i="3"/>
  <c r="X20" i="3"/>
  <c r="X22" i="3"/>
  <c r="X37" i="3"/>
  <c r="X25" i="3"/>
  <c r="X16" i="3"/>
  <c r="X10" i="3"/>
  <c r="X23" i="3"/>
  <c r="X26" i="3"/>
  <c r="X33" i="3"/>
  <c r="X15" i="3"/>
  <c r="X28" i="3"/>
  <c r="X39" i="3"/>
  <c r="X27" i="3"/>
  <c r="X35" i="3"/>
  <c r="X40" i="3"/>
  <c r="X13" i="3"/>
  <c r="X14" i="3"/>
  <c r="X38" i="3"/>
  <c r="X36" i="3"/>
  <c r="X11" i="3"/>
  <c r="X29" i="3"/>
  <c r="X12" i="3"/>
  <c r="X24" i="3"/>
  <c r="X30" i="3"/>
  <c r="X34" i="3"/>
  <c r="X17" i="3"/>
  <c r="X31" i="3"/>
  <c r="X18" i="3"/>
  <c r="X66" i="3"/>
  <c r="X78" i="3"/>
  <c r="X32" i="3"/>
  <c r="X41" i="3"/>
  <c r="X42" i="3"/>
  <c r="X65" i="3"/>
  <c r="X68" i="3"/>
  <c r="X67" i="3"/>
  <c r="X53" i="3"/>
  <c r="X47" i="3"/>
  <c r="X80" i="3"/>
  <c r="X79" i="3"/>
  <c r="X76" i="3"/>
  <c r="X49" i="3"/>
  <c r="X48" i="3"/>
  <c r="X50" i="3"/>
  <c r="X55" i="3"/>
  <c r="X71" i="3"/>
  <c r="X1" i="3" l="1"/>
  <c r="AD46" i="1"/>
  <c r="AA46" i="1"/>
  <c r="AD30" i="1"/>
  <c r="AA30" i="1"/>
  <c r="X70" i="3"/>
  <c r="X2" i="3" s="1"/>
  <c r="AA52" i="1" l="1"/>
  <c r="AD52" i="1" s="1"/>
  <c r="X3" i="3"/>
  <c r="D38" i="1"/>
  <c r="D21" i="1"/>
  <c r="C21" i="1"/>
  <c r="C38" i="1"/>
  <c r="E37" i="1"/>
  <c r="X37" i="1" s="1"/>
  <c r="E36" i="1"/>
  <c r="X36" i="1" s="1"/>
  <c r="E35" i="1"/>
  <c r="X35" i="1" s="1"/>
  <c r="E20" i="1"/>
  <c r="X20" i="1" s="1"/>
  <c r="E19" i="1"/>
  <c r="X19" i="1" s="1"/>
  <c r="E18" i="1"/>
  <c r="X18" i="1" s="1"/>
  <c r="E17" i="1"/>
  <c r="X38" i="1" l="1"/>
  <c r="Q38" i="1"/>
  <c r="S38" i="1"/>
  <c r="X17" i="1"/>
  <c r="S21" i="1"/>
  <c r="Q21" i="1"/>
  <c r="E38" i="1"/>
  <c r="E21" i="1"/>
  <c r="N35" i="1"/>
  <c r="R51" i="1" l="1"/>
  <c r="X51" i="1" s="1"/>
  <c r="X53" i="1" s="1"/>
  <c r="X21" i="1"/>
  <c r="N17" i="1"/>
  <c r="R53" i="1" l="1"/>
  <c r="O35" i="1"/>
  <c r="O17" i="1"/>
  <c r="AB20" i="1" l="1"/>
  <c r="AC20" i="1" s="1"/>
  <c r="AB19" i="1"/>
  <c r="AC19" i="1" s="1"/>
  <c r="AB18" i="1"/>
  <c r="AC18" i="1" s="1"/>
  <c r="AB17" i="1"/>
  <c r="AB21" i="1" s="1"/>
  <c r="AB35" i="1"/>
  <c r="AC35" i="1" s="1"/>
  <c r="AB37" i="1"/>
  <c r="AC37" i="1" s="1"/>
  <c r="AB36" i="1"/>
  <c r="AC36" i="1" s="1"/>
  <c r="Z18" i="1"/>
  <c r="AA18" i="1" s="1"/>
  <c r="AD18" i="1" s="1"/>
  <c r="Z17" i="1"/>
  <c r="Z19" i="1"/>
  <c r="AA19" i="1" s="1"/>
  <c r="AD19" i="1" s="1"/>
  <c r="Z20" i="1"/>
  <c r="AA20" i="1" s="1"/>
  <c r="AD20" i="1" s="1"/>
  <c r="AC17" i="1"/>
  <c r="Z36" i="1"/>
  <c r="AA36" i="1" s="1"/>
  <c r="Z35" i="1"/>
  <c r="Z37" i="1"/>
  <c r="AA37" i="1" s="1"/>
  <c r="AD37" i="1" s="1"/>
  <c r="AC38" i="1" l="1"/>
  <c r="AB38" i="1"/>
  <c r="AD36" i="1"/>
  <c r="AC21" i="1"/>
  <c r="AA35" i="1"/>
  <c r="Z38" i="1"/>
  <c r="AA17" i="1"/>
  <c r="Z21" i="1"/>
  <c r="AC51" i="1" l="1"/>
  <c r="AC53" i="1" s="1"/>
  <c r="AD17" i="1"/>
  <c r="AA21" i="1"/>
  <c r="AA38" i="1"/>
  <c r="AD35" i="1"/>
  <c r="AD38" i="1" s="1"/>
  <c r="AA51" i="1" l="1"/>
  <c r="AD21" i="1"/>
  <c r="AD51" i="1" l="1"/>
  <c r="AD53" i="1" s="1"/>
  <c r="AA53" i="1"/>
</calcChain>
</file>

<file path=xl/sharedStrings.xml><?xml version="1.0" encoding="utf-8"?>
<sst xmlns="http://schemas.openxmlformats.org/spreadsheetml/2006/main" count="1138" uniqueCount="278">
  <si>
    <t>Nom du fournisseur</t>
  </si>
  <si>
    <t>Date remise offre</t>
  </si>
  <si>
    <t>Offre valide jusqu'au</t>
  </si>
  <si>
    <t>Grille de Prix à compléter</t>
  </si>
  <si>
    <t>Prix Fourniture</t>
  </si>
  <si>
    <t>Capacité 
hors Arenh</t>
  </si>
  <si>
    <t>Capacité 
avec 100% droit Arenh</t>
  </si>
  <si>
    <t>Surcoût CEE</t>
  </si>
  <si>
    <t>Arenh</t>
  </si>
  <si>
    <t>Structure Tarifaire découpage Turpe</t>
  </si>
  <si>
    <t>Volume prévisionnel 
MWh / an</t>
  </si>
  <si>
    <t>RESULTANTE</t>
  </si>
  <si>
    <t>Obligation en MW</t>
  </si>
  <si>
    <t>Coefficient kW/MWh</t>
  </si>
  <si>
    <t>Classique
(€/MWh)</t>
  </si>
  <si>
    <t>Précarité
(€/MWh)</t>
  </si>
  <si>
    <t>Droit Arenh MW</t>
  </si>
  <si>
    <t>Droit Arenh MWh</t>
  </si>
  <si>
    <t>% Arenh</t>
  </si>
  <si>
    <t>Heures Pleines Hiver</t>
  </si>
  <si>
    <t>Heures Creuses Hiver</t>
  </si>
  <si>
    <t>Eté</t>
  </si>
  <si>
    <t>Heures Pleines Eté</t>
  </si>
  <si>
    <t>Heures Creuses Eté</t>
  </si>
  <si>
    <t>TOTAL</t>
  </si>
  <si>
    <t>€/MWh</t>
  </si>
  <si>
    <t>BASE</t>
  </si>
  <si>
    <t>HP</t>
  </si>
  <si>
    <t>HC</t>
  </si>
  <si>
    <t>Autres coûts (préciser)</t>
  </si>
  <si>
    <t>Possibilité d'une ligne séparée sur la facture ?</t>
  </si>
  <si>
    <t>Etalement du coût de la capacité sur les différentes factures ?</t>
  </si>
  <si>
    <t>Modalités de régularisation capacité en cas de dépassement du plafond Arenh ?</t>
  </si>
  <si>
    <t>Fichier Excel de calcul de l'impact de l'écrêtement joint à la réponse ?</t>
  </si>
  <si>
    <t>% d'Arenh ferme ou donnant lieu à régularisation ?</t>
  </si>
  <si>
    <t>Modalités de fixation du prix des volumes manquants en cas de dépassement du plafond Arenh</t>
  </si>
  <si>
    <r>
      <rPr>
        <b/>
        <sz val="14"/>
        <color theme="1"/>
        <rFont val="Calibri"/>
        <family val="2"/>
        <scheme val="minor"/>
      </rPr>
      <t xml:space="preserve">Questions </t>
    </r>
    <r>
      <rPr>
        <sz val="10"/>
        <rFont val="Arial"/>
        <family val="2"/>
      </rPr>
      <t xml:space="preserve">
</t>
    </r>
    <r>
      <rPr>
        <i/>
        <sz val="11"/>
        <color theme="1" tint="0.34998626667073579"/>
        <rFont val="Calibri"/>
        <family val="2"/>
        <scheme val="minor"/>
      </rPr>
      <t>(voir document Appel d'offres pour plus de précisions)</t>
    </r>
  </si>
  <si>
    <t>GRILLE DE REPONSE TECHNIQUE</t>
  </si>
  <si>
    <t>Garanties Origine</t>
  </si>
  <si>
    <t>BASELOAD</t>
  </si>
  <si>
    <t>PEAKLOAD</t>
  </si>
  <si>
    <t>PRIX ARENH</t>
  </si>
  <si>
    <t>Coûts complémentaires</t>
  </si>
  <si>
    <t>Taux Ecrêtement
estimé</t>
  </si>
  <si>
    <t>Cout CAPA
estimé</t>
  </si>
  <si>
    <t xml:space="preserve">indicative ou ferme </t>
  </si>
  <si>
    <t xml:space="preserve">Compléter les cellules en jaune. Ne pas modifier la structure du document </t>
  </si>
  <si>
    <t>C5</t>
  </si>
  <si>
    <t>MU</t>
  </si>
  <si>
    <t>HP-HC</t>
  </si>
  <si>
    <t>ENEDIS</t>
  </si>
  <si>
    <t>CU</t>
  </si>
  <si>
    <t>LU</t>
  </si>
  <si>
    <t>C4</t>
  </si>
  <si>
    <t>Total</t>
  </si>
  <si>
    <t>HCE</t>
  </si>
  <si>
    <t>HPE</t>
  </si>
  <si>
    <t>Segment</t>
  </si>
  <si>
    <t>Version</t>
  </si>
  <si>
    <t>FTA</t>
  </si>
  <si>
    <t>TCFE</t>
  </si>
  <si>
    <t>Échéance</t>
  </si>
  <si>
    <t>RAE</t>
  </si>
  <si>
    <t>GRD</t>
  </si>
  <si>
    <t>Fournisseur</t>
  </si>
  <si>
    <t>Commune</t>
  </si>
  <si>
    <t>Code postal</t>
  </si>
  <si>
    <t>Adresse</t>
  </si>
  <si>
    <t>SIRET</t>
  </si>
  <si>
    <t>Nom du site</t>
  </si>
  <si>
    <t>Type</t>
  </si>
  <si>
    <t>Nombre sites :</t>
  </si>
  <si>
    <t>C5 :</t>
  </si>
  <si>
    <t>Nbr C5 :</t>
  </si>
  <si>
    <t>C4 :</t>
  </si>
  <si>
    <t>Nbr C4 :</t>
  </si>
  <si>
    <r>
      <rPr>
        <b/>
        <sz val="14"/>
        <rFont val="Calibri"/>
        <family val="2"/>
        <scheme val="minor"/>
      </rPr>
      <t>Réponse du candidat</t>
    </r>
    <r>
      <rPr>
        <sz val="10"/>
        <rFont val="Arial"/>
        <family val="2"/>
      </rPr>
      <t xml:space="preserve">
</t>
    </r>
    <r>
      <rPr>
        <i/>
        <sz val="11"/>
        <color theme="1" tint="0.34998626667073579"/>
        <rFont val="Calibri"/>
        <family val="2"/>
        <scheme val="minor"/>
      </rPr>
      <t>Pour chaque question, merci d'apporter une réponse précise. 
La qualité de la réponse sera prise en compte dans notre choix final.
Des éléments complémentaires pourront être précisés dans votre mémoire technique</t>
    </r>
  </si>
  <si>
    <t>Espace client disponible ? Accès test proposé ?</t>
  </si>
  <si>
    <t>Validité de l'offre</t>
  </si>
  <si>
    <t>Structure de prix</t>
  </si>
  <si>
    <t>Garanties d’Origine renouvelable</t>
  </si>
  <si>
    <t>Marché de capacité</t>
  </si>
  <si>
    <t>Reporting - espace client</t>
  </si>
  <si>
    <t>Souplesse - Evolution du parc</t>
  </si>
  <si>
    <t>Facturation</t>
  </si>
  <si>
    <t>SYNDICAT DES EAUX DE LA PLAINE ET DES COLLINES DU CATELAN</t>
  </si>
  <si>
    <t>Coef
Secur</t>
  </si>
  <si>
    <t>BASELOAD
remplacement</t>
  </si>
  <si>
    <t>Marge
capa
€/kW</t>
  </si>
  <si>
    <t>Coût
écrêtement
€/MWh</t>
  </si>
  <si>
    <t>Abon</t>
  </si>
  <si>
    <t>CAL_2023</t>
  </si>
  <si>
    <t>CAL_2024</t>
  </si>
  <si>
    <t>Abonnement
€/an/site</t>
  </si>
  <si>
    <t>C4 2023</t>
  </si>
  <si>
    <t>C4 2024</t>
  </si>
  <si>
    <t>C5 2023</t>
  </si>
  <si>
    <t>C5 2024</t>
  </si>
  <si>
    <t>DQE</t>
  </si>
  <si>
    <t>HYPOTHESES</t>
  </si>
  <si>
    <t>Capacité</t>
  </si>
  <si>
    <t>GO</t>
  </si>
  <si>
    <t>CEE</t>
  </si>
  <si>
    <t>hors Arenh</t>
  </si>
  <si>
    <t>Coût
€/MWh</t>
  </si>
  <si>
    <t>100% droit Arenh</t>
  </si>
  <si>
    <t>Coût
€ / an</t>
  </si>
  <si>
    <t>Coût
€HT/MWh</t>
  </si>
  <si>
    <t>PU
€/MWh</t>
  </si>
  <si>
    <t>C4 - après écrêtement</t>
  </si>
  <si>
    <t>C5 - après écrêtement</t>
  </si>
  <si>
    <t>TOTAL : C2-C4-C5 2023-2024-2025</t>
  </si>
  <si>
    <t>Année</t>
  </si>
  <si>
    <t>Fourniture</t>
  </si>
  <si>
    <t>Capacité
hors Arenh</t>
  </si>
  <si>
    <t>Capacité
100% Arenh</t>
  </si>
  <si>
    <t>(du 01/04 au 31/10)</t>
  </si>
  <si>
    <t>Nbr
sites</t>
  </si>
  <si>
    <t>Prix incluant un approvisionnement ARENH (indexée Arenh)</t>
  </si>
  <si>
    <t>Capacité de proposer les GO d'origine France (de préférence)</t>
  </si>
  <si>
    <t>Modalités de couverture de notre obligation de capacité (moyenne enchères) ?</t>
  </si>
  <si>
    <t>Coût CEE fixe sur chaque année (en €/MWh ou en €/MWh Cumac)</t>
  </si>
  <si>
    <t>Possibilité d'une ligne distincte sur la facture ?</t>
  </si>
  <si>
    <t>Horo-saisonnalité </t>
  </si>
  <si>
    <t>Découpage tarifaire calqué sur l’horo-saisonnalité du Turpe</t>
  </si>
  <si>
    <t xml:space="preserve">PRIX fixe indexé ARENH </t>
  </si>
  <si>
    <t>Garantie du prix</t>
  </si>
  <si>
    <t>Les évolutions des taxes et coûts d’acheminement en cours de contrat ne pourront être impactées dans les factures qu’après information préalable du client, sous forme d’un fichier Excel détaillant l’impact unitaire par site et de documents justificatifs (textes de référence et calculs correspondants).</t>
  </si>
  <si>
    <t>Les impôts, taxes et contributions exigibles au point de livraison et qui incombent légalement au client final (CSPE, CTA, TVA, …) seront refacturées à l’euro l’euro par le fournisseur. Il en va de même des coûts de distribution.</t>
  </si>
  <si>
    <t>Critères Techniques</t>
  </si>
  <si>
    <t>Périmètre</t>
  </si>
  <si>
    <t>Répondez-vous sur l'ensemble des sites ?</t>
  </si>
  <si>
    <t>Le paiement s'effectue suivant les règles de la comptabilité publique selon la réglementation en vigueur, par mandat administratif et virement au compte ouvert au nom du titulaire sur CHORUS PRO</t>
  </si>
  <si>
    <t>Format de la facture : confirmer que les éléments listés dans CCP-Accord Cadre sont bien présents sur la facture ; préciser manques éventuels</t>
  </si>
  <si>
    <t>Garantie - Caution bancaire</t>
  </si>
  <si>
    <t>Confirmer absence de garantie, caution, dépôt</t>
  </si>
  <si>
    <t>Engagement de consommation</t>
  </si>
  <si>
    <t>Absence d'engagement ?</t>
  </si>
  <si>
    <t>PTE
Base</t>
  </si>
  <si>
    <t>HPH
HP</t>
  </si>
  <si>
    <t>HCH
HC</t>
  </si>
  <si>
    <t>Bâtiment</t>
  </si>
  <si>
    <t>ANCIENNE ECOLE</t>
  </si>
  <si>
    <t>ATELIER MUNICIPAUX</t>
  </si>
  <si>
    <t>BASE DE LOISIRS LEO LAGRANGE</t>
  </si>
  <si>
    <t>COFFRET FETE</t>
  </si>
  <si>
    <t>COFFRET FORAIN SALLE PO</t>
  </si>
  <si>
    <t>ECLAIRAGE PUBLIC</t>
  </si>
  <si>
    <t>ECLAIRAGE TENNIS</t>
  </si>
  <si>
    <t>ECOLE PRIMAIRE</t>
  </si>
  <si>
    <t>EGLISE</t>
  </si>
  <si>
    <t>FOYER COMMUNAL</t>
  </si>
  <si>
    <t>HALLE</t>
  </si>
  <si>
    <t>LA CHAPELLE</t>
  </si>
  <si>
    <t>LOCAL COMITE DES FETES</t>
  </si>
  <si>
    <t>LOCAL VISITE MEDICAL</t>
  </si>
  <si>
    <t>LOGEMENT COMMUNAL LES PLAGNES</t>
  </si>
  <si>
    <t>MAIRIE</t>
  </si>
  <si>
    <t>MAISON DE LA PETANQUE</t>
  </si>
  <si>
    <t>MAISON DES ASSOCIATIONS</t>
  </si>
  <si>
    <t>MAISON DU RUGBY</t>
  </si>
  <si>
    <t>MAISON DU TENNIS</t>
  </si>
  <si>
    <t>MONTESQUIEU VOLVESTRE</t>
  </si>
  <si>
    <t>PISCINE</t>
  </si>
  <si>
    <t>POMPE IRRIGATION STADE</t>
  </si>
  <si>
    <t>PONT BASCULE</t>
  </si>
  <si>
    <t>SALLE DE JUDO</t>
  </si>
  <si>
    <t>STADE RUGBY</t>
  </si>
  <si>
    <t>TERRAIN DE SPORT</t>
  </si>
  <si>
    <t>WC PUBLIC</t>
  </si>
  <si>
    <t>BATIMENT COMMUNAL LES MARMOTTES</t>
  </si>
  <si>
    <t>Sanitaire public Parc Couloumé</t>
  </si>
  <si>
    <t>Sanitaire public SDISS</t>
  </si>
  <si>
    <t>ECLAIRAGE BOULODROME</t>
  </si>
  <si>
    <t>ECLAIRAGE LES JARDINS DE LARIZE</t>
  </si>
  <si>
    <t>ECLAIRAGE PUBLIC - P 1</t>
  </si>
  <si>
    <t>ECLAIRAGE PUBLIC - P 11</t>
  </si>
  <si>
    <t>ECLAIRAGE PUBLIC - P 12</t>
  </si>
  <si>
    <t>ECLAIRAGE PUBLIC - P 14</t>
  </si>
  <si>
    <t>ECLAIRAGE PUBLIC - P 15</t>
  </si>
  <si>
    <t>ECLAIRAGE PUBLIC - P 16</t>
  </si>
  <si>
    <t>ECLAIRAGE PUBLIC - P 17</t>
  </si>
  <si>
    <t>ECLAIRAGE PUBLIC - P 18</t>
  </si>
  <si>
    <t>ECLAIRAGE PUBLIC - P 19</t>
  </si>
  <si>
    <t>ECLAIRAGE PUBLIC - P 2</t>
  </si>
  <si>
    <t>ECLAIRAGE PUBLIC - P 21</t>
  </si>
  <si>
    <t>ECLAIRAGE PUBLIC - P 22</t>
  </si>
  <si>
    <t>ECLAIRAGE PUBLIC - P 26</t>
  </si>
  <si>
    <t>ECLAIRAGE PUBLIC - P 28</t>
  </si>
  <si>
    <t>ECLAIRAGE PUBLIC - P 29</t>
  </si>
  <si>
    <t>ECLAIRAGE PUBLIC - P 3</t>
  </si>
  <si>
    <t>ECLAIRAGE PUBLIC - P 30</t>
  </si>
  <si>
    <t>ECLAIRAGE PUBLIC - P 35</t>
  </si>
  <si>
    <t>ECLAIRAGE PUBLIC - P 38</t>
  </si>
  <si>
    <t>ECLAIRAGE PUBLIC - P 39</t>
  </si>
  <si>
    <t>ECLAIRAGE PUBLIC - P 41</t>
  </si>
  <si>
    <t>ECLAIRAGE PUBLIC - P 65</t>
  </si>
  <si>
    <t>ECLAIRAGE PUBLIC - P 7</t>
  </si>
  <si>
    <t>ECLAIRAGE PUBLIC - P 77</t>
  </si>
  <si>
    <t>ECLAIRAGE PUBLIC - P 79</t>
  </si>
  <si>
    <t>ECLAIRAGE PUBLIC - P 88</t>
  </si>
  <si>
    <t>ECLAIRAGE PUBLIC - P 9</t>
  </si>
  <si>
    <t>ECLAIRAGE PUBLIC - P 95</t>
  </si>
  <si>
    <t>ECLAIRAGE PUBLIC - P 98</t>
  </si>
  <si>
    <t>ECLAIRAGE PUBLIC LE POUTICAYRE</t>
  </si>
  <si>
    <t>EP 19 MARS</t>
  </si>
  <si>
    <t>EP 65</t>
  </si>
  <si>
    <t>EP PIERRE ALARD</t>
  </si>
  <si>
    <t>PLACE BRINDEJONC DES MOULINAIS</t>
  </si>
  <si>
    <t>IMPASSE DES LILAS</t>
  </si>
  <si>
    <t>CHEMIN DE BOURGAOU</t>
  </si>
  <si>
    <t>CHEMIN DU BAC DE TITET</t>
  </si>
  <si>
    <t>RUE DU PARFAIT</t>
  </si>
  <si>
    <t>LIEU DIT PEYFIOLE</t>
  </si>
  <si>
    <t>RUE DE LA CHUTERE</t>
  </si>
  <si>
    <t>RUE DE LA CASTERETTE</t>
  </si>
  <si>
    <t>RUE DE LA GONDOLE</t>
  </si>
  <si>
    <t>RUE DU RAMIER</t>
  </si>
  <si>
    <t>QUARTIER PETIT BARAILLAS</t>
  </si>
  <si>
    <t>CHEMIN DES PERDOUS</t>
  </si>
  <si>
    <t>BOULEVARD CESAR METGE</t>
  </si>
  <si>
    <t>AVENUE DU MAS D AZIL</t>
  </si>
  <si>
    <t>QUARTIER CAPITANY</t>
  </si>
  <si>
    <t>RUE DU CARNE</t>
  </si>
  <si>
    <t>LE COULOUME</t>
  </si>
  <si>
    <t>RUE GERMAINE BOUE</t>
  </si>
  <si>
    <t>LIEU DIT LE CASTERA</t>
  </si>
  <si>
    <t>LIEU DIT LA MOULIERE</t>
  </si>
  <si>
    <t>AVENUE SIMON DE LA LOUBERE</t>
  </si>
  <si>
    <t>ROUTE DE LATOUR</t>
  </si>
  <si>
    <t>BOUAS</t>
  </si>
  <si>
    <t>RUE DU 19 MARS 1962</t>
  </si>
  <si>
    <t>QUARTIER SAINTE RAME</t>
  </si>
  <si>
    <t>CHEMIN TUILERIE ET CAMPETS</t>
  </si>
  <si>
    <t>ROUTE DE LAHITERE</t>
  </si>
  <si>
    <t>LIEU DIT ARGAIN</t>
  </si>
  <si>
    <t>LIEU DIT DARRE LE BOSC</t>
  </si>
  <si>
    <t>RUE DES MELLES</t>
  </si>
  <si>
    <t>SIGOUADA</t>
  </si>
  <si>
    <t>CHEMIN DEBAT BRANCAOU</t>
  </si>
  <si>
    <t>LE POUTICAYRE</t>
  </si>
  <si>
    <t>1 RUE SAINT BERNARD</t>
  </si>
  <si>
    <t>BOULEVARD PIERRE ALARD</t>
  </si>
  <si>
    <t>PLAINE DE LESPI</t>
  </si>
  <si>
    <t>PLACE DE LA PERRUQUE</t>
  </si>
  <si>
    <t>LA LOUBERE</t>
  </si>
  <si>
    <t>PLACE DE L HOTEL DE VILLE</t>
  </si>
  <si>
    <t>PLACE DE LA HALLE</t>
  </si>
  <si>
    <t>11 RUE DES MELLES</t>
  </si>
  <si>
    <t>LES PLAGNES</t>
  </si>
  <si>
    <t>2 RUE SAINT VICTOR</t>
  </si>
  <si>
    <t>11 RUE DES OLIERES</t>
  </si>
  <si>
    <t>1 RUE JANET</t>
  </si>
  <si>
    <t>6 RUE DE L EGLISE</t>
  </si>
  <si>
    <t>RUE DE L'ISLE DE LA MOLLE</t>
  </si>
  <si>
    <t>LE COULOUME 07 BT 906</t>
  </si>
  <si>
    <t>3 RUE DU COLLEGE</t>
  </si>
  <si>
    <t>ECOLE PRIMAIRE BONZOUMET</t>
  </si>
  <si>
    <t>RESTAURANT SCOLAIRE</t>
  </si>
  <si>
    <t>RUE RAMON DE VESINIS</t>
  </si>
  <si>
    <t>IMPASSE DE L'ACQUEDUC</t>
  </si>
  <si>
    <t>21310375700018</t>
  </si>
  <si>
    <t>BT&gt;36 kVA</t>
  </si>
  <si>
    <t>Base</t>
  </si>
  <si>
    <t>EP-Base</t>
  </si>
  <si>
    <t>Commune de Montesquieu-Volvestre - ELECTRICITE</t>
  </si>
  <si>
    <t>Exemple de facture (C4-C5)  annexée à la réponse ?</t>
  </si>
  <si>
    <t>Une facture par segment ?</t>
  </si>
  <si>
    <r>
      <rPr>
        <u/>
        <sz val="11"/>
        <rFont val="Calibri"/>
        <family val="2"/>
        <scheme val="minor"/>
      </rPr>
      <t>Espace client</t>
    </r>
    <r>
      <rPr>
        <sz val="11"/>
        <rFont val="Calibri"/>
        <family val="2"/>
        <scheme val="minor"/>
      </rPr>
      <t xml:space="preserve"> : préciser OK ou non pour : 
- factures pdf avec historique et accès 12 mois après fin du contrat ; 
- données techniques ; 
- login central ; 
- possibilité extraction factures;
- extraction des consommations mensuelles sous format EXCEL</t>
    </r>
  </si>
  <si>
    <t>Souplesse 10% en volume entrée/sortie</t>
  </si>
  <si>
    <t xml:space="preserve">Capacité de proposer une offre 100% verte selon l’option 100%, 50% ou 25%.	</t>
  </si>
  <si>
    <t>Pénalités</t>
  </si>
  <si>
    <t>Acceptez-vous les pénalités détaillés dans AC ?</t>
  </si>
  <si>
    <t>Eclairage Public</t>
  </si>
  <si>
    <t>Bat</t>
  </si>
  <si>
    <t>EP</t>
  </si>
  <si>
    <t>FOURNITURE D'ELECTRICITE - Commune de Montesquieu-Volvestre - BATIMENTS</t>
  </si>
  <si>
    <t>FOURNITURE D'ELECTRICITE - Commune de Montesquieu-Volvestre - ECLAIRAGE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</si>
</sst>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0.00\ &quot;€&quot;;[Red]\-#,##0.00\ &quot;€&quot;"/>
    <numFmt numFmtId="44" formatCode="_-* #,##0.00\ &quot;€&quot;_-;\-* #,##0.00\ &quot;€&quot;_-;_-* &quot;-&quot;??\ &quot;€&quot;_-;_-@_-"/>
    <numFmt numFmtId="43" formatCode="_-* #,##0.00_-;\-* #,##0.00_-;_-* &quot;-&quot;??_-;_-@_-"/>
    <numFmt numFmtId="164" formatCode="_-* #,##0.00\ _€_-;\-* #,##0.00\ _€_-;_-* &quot;-&quot;??\ _€_-;_-@_-"/>
    <numFmt numFmtId="165" formatCode="_-* #,##0.00\ [$€-40C]_-;\-* #,##0.00\ [$€-40C]_-;_-* &quot;-&quot;??\ [$€-40C]_-;_-@_-"/>
    <numFmt numFmtId="166" formatCode="_-* #,##0.000\ _€_-;\-* #,##0.000\ _€_-;_-* &quot;-&quot;??\ _€_-;_-@_-"/>
    <numFmt numFmtId="167" formatCode="_-* #,##0.0000\ _€_-;\-* #,##0.0000\ _€_-;_-* &quot;-&quot;??\ _€_-;_-@_-"/>
    <numFmt numFmtId="168" formatCode="#,##0_ ;\-#,##0\ "/>
    <numFmt numFmtId="169" formatCode="_-* #,##0\ _€_-;\-* #,##0\ _€_-;_-* &quot;-&quot;??\ _€_-;_-@_-"/>
    <numFmt numFmtId="170" formatCode="_-* #,##0.00000\ _€_-;\-* #,##0.00000\ _€_-;_-* &quot;-&quot;??\ _€_-;_-@_-"/>
    <numFmt numFmtId="171" formatCode="#,##0.000"/>
    <numFmt numFmtId="172" formatCode="00000"/>
    <numFmt numFmtId="173" formatCode="00000000000000"/>
    <numFmt numFmtId="174" formatCode="#,##0.000000"/>
    <numFmt numFmtId="175" formatCode="#,##0.00_ ;\-#,##0.00\ "/>
    <numFmt numFmtId="176" formatCode="#,##0.0_ ;\-#,##0.0\ "/>
    <numFmt numFmtId="177" formatCode="_-* #,##0.00\ _€_-;\-* #,##0.00\ _€_-;_-* &quot;-&quot;????\ _€_-;_-@_-"/>
    <numFmt numFmtId="178" formatCode="_-* #,##0\ [$€-40C]_-;\-* #,##0\ [$€-40C]_-;_-* &quot;-&quot;??\ [$€-40C]_-;_-@_-"/>
    <numFmt numFmtId="179" formatCode="0.0"/>
  </numFmts>
  <fonts count="53"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6"/>
      <color theme="1"/>
      <name val="Calibri"/>
      <family val="2"/>
      <scheme val="minor"/>
    </font>
    <font>
      <b/>
      <sz val="13"/>
      <color theme="1"/>
      <name val="Calibri"/>
      <family val="2"/>
      <scheme val="minor"/>
    </font>
    <font>
      <sz val="10"/>
      <name val="Arial"/>
      <family val="2"/>
    </font>
    <font>
      <sz val="8"/>
      <color indexed="8"/>
      <name val="Tahoma"/>
      <family val="2"/>
    </font>
    <font>
      <b/>
      <i/>
      <sz val="8"/>
      <color indexed="8"/>
      <name val="Tahoma"/>
      <family val="2"/>
    </font>
    <font>
      <b/>
      <sz val="16"/>
      <color indexed="8"/>
      <name val="Tahoma"/>
      <family val="2"/>
    </font>
    <font>
      <b/>
      <sz val="8"/>
      <color indexed="8"/>
      <name val="Tahoma"/>
      <family val="2"/>
    </font>
    <font>
      <b/>
      <sz val="9"/>
      <color indexed="63"/>
      <name val="Tahoma"/>
      <family val="2"/>
    </font>
    <font>
      <u/>
      <sz val="10"/>
      <color theme="10"/>
      <name val="Arial"/>
      <family val="2"/>
    </font>
    <font>
      <b/>
      <sz val="10"/>
      <name val="Arial"/>
      <family val="2"/>
    </font>
    <font>
      <b/>
      <sz val="18"/>
      <color theme="3"/>
      <name val="Calibri Light"/>
      <family val="2"/>
      <scheme val="major"/>
    </font>
    <font>
      <sz val="11"/>
      <color rgb="FF9C6500"/>
      <name val="Calibri"/>
      <family val="2"/>
      <scheme val="minor"/>
    </font>
    <font>
      <sz val="11"/>
      <color indexed="8"/>
      <name val="Calibri"/>
      <family val="2"/>
    </font>
    <font>
      <u/>
      <sz val="11"/>
      <color theme="10"/>
      <name val="Calibri"/>
      <family val="2"/>
      <scheme val="minor"/>
    </font>
    <font>
      <b/>
      <sz val="14"/>
      <color theme="1"/>
      <name val="Calibri"/>
      <family val="2"/>
      <scheme val="minor"/>
    </font>
    <font>
      <b/>
      <sz val="14"/>
      <name val="Calibri"/>
      <family val="2"/>
    </font>
    <font>
      <b/>
      <i/>
      <sz val="10"/>
      <color rgb="FFFF0000"/>
      <name val="Arial"/>
      <family val="2"/>
    </font>
    <font>
      <sz val="11"/>
      <name val="Calibri"/>
      <family val="2"/>
      <scheme val="minor"/>
    </font>
    <font>
      <u/>
      <sz val="11"/>
      <name val="Calibri"/>
      <family val="2"/>
      <scheme val="minor"/>
    </font>
    <font>
      <b/>
      <sz val="14"/>
      <name val="Calibri"/>
      <family val="2"/>
      <scheme val="minor"/>
    </font>
    <font>
      <i/>
      <sz val="11"/>
      <color theme="1" tint="0.34998626667073579"/>
      <name val="Calibri"/>
      <family val="2"/>
      <scheme val="minor"/>
    </font>
    <font>
      <sz val="14"/>
      <color theme="1"/>
      <name val="Calibri"/>
      <family val="2"/>
      <scheme val="minor"/>
    </font>
    <font>
      <sz val="9"/>
      <color theme="1"/>
      <name val="Calibri"/>
      <family val="2"/>
      <scheme val="minor"/>
    </font>
    <font>
      <sz val="9"/>
      <name val="Calibri"/>
      <family val="2"/>
      <scheme val="minor"/>
    </font>
    <font>
      <b/>
      <sz val="9"/>
      <name val="Calibri"/>
      <family val="2"/>
      <scheme val="minor"/>
    </font>
    <font>
      <b/>
      <sz val="9"/>
      <color theme="1"/>
      <name val="Calibri"/>
      <family val="2"/>
      <scheme val="minor"/>
    </font>
    <font>
      <sz val="10"/>
      <color theme="1"/>
      <name val="Calibri"/>
      <family val="2"/>
      <scheme val="minor"/>
    </font>
    <font>
      <b/>
      <u/>
      <sz val="9"/>
      <name val="Calibri"/>
      <family val="2"/>
      <scheme val="minor"/>
    </font>
    <font>
      <b/>
      <sz val="11"/>
      <color rgb="FFFF0000"/>
      <name val="Calibri"/>
      <family val="2"/>
      <scheme val="minor"/>
    </font>
    <font>
      <b/>
      <sz val="11"/>
      <name val="Calibri"/>
      <family val="2"/>
      <scheme val="minor"/>
    </font>
    <font>
      <b/>
      <sz val="14"/>
      <color theme="0"/>
      <name val="Calibri"/>
      <family val="2"/>
      <scheme val="minor"/>
    </font>
    <font>
      <u/>
      <sz val="16"/>
      <color theme="1"/>
      <name val="Calibri"/>
      <family val="2"/>
      <scheme val="minor"/>
    </font>
    <font>
      <b/>
      <sz val="10"/>
      <name val="Calibri"/>
      <family val="2"/>
      <scheme val="minor"/>
    </font>
    <font>
      <b/>
      <sz val="15"/>
      <color theme="1"/>
      <name val="Arial"/>
      <family val="2"/>
    </font>
    <font>
      <b/>
      <sz val="11"/>
      <name val="Arial"/>
      <family val="2"/>
    </font>
    <font>
      <sz val="8"/>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indexed="62"/>
        <bgColor indexed="64"/>
      </patternFill>
    </fill>
    <fill>
      <patternFill patternType="solid">
        <fgColor indexed="10"/>
        <bgColor indexed="64"/>
      </patternFill>
    </fill>
    <fill>
      <patternFill patternType="solid">
        <fgColor indexed="61"/>
        <bgColor indexed="64"/>
      </patternFill>
    </fill>
    <fill>
      <patternFill patternType="solid">
        <fgColor indexed="59"/>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FF00"/>
        <bgColor indexed="64"/>
      </patternFill>
    </fill>
    <fill>
      <patternFill patternType="solid">
        <fgColor rgb="FF00B0F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0"/>
      </left>
      <right style="thin">
        <color indexed="60"/>
      </right>
      <top style="thin">
        <color indexed="60"/>
      </top>
      <bottom style="thin">
        <color indexed="6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344">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9" fillId="0" borderId="0"/>
    <xf numFmtId="0" fontId="19" fillId="0" borderId="0"/>
    <xf numFmtId="0" fontId="20" fillId="0" borderId="0" applyNumberFormat="0" applyFill="0" applyBorder="0" applyProtection="0">
      <alignment horizontal="right"/>
    </xf>
    <xf numFmtId="17" fontId="20" fillId="0" borderId="0" applyFill="0" applyBorder="0" applyAlignment="0" applyProtection="0"/>
    <xf numFmtId="0" fontId="20" fillId="0" borderId="0" applyNumberFormat="0" applyFill="0" applyBorder="0" applyProtection="0">
      <alignment horizontal="left" wrapText="1"/>
    </xf>
    <xf numFmtId="0" fontId="21" fillId="35" borderId="0" applyNumberFormat="0" applyBorder="0" applyAlignment="0" applyProtection="0"/>
    <xf numFmtId="0" fontId="21" fillId="36" borderId="0" applyNumberFormat="0" applyBorder="0" applyAlignment="0" applyProtection="0"/>
    <xf numFmtId="8" fontId="20" fillId="0" borderId="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37" borderId="13" applyNumberFormat="0" applyProtection="0">
      <alignment horizontal="center" vertical="center" wrapText="1"/>
    </xf>
    <xf numFmtId="0" fontId="24" fillId="37" borderId="0" applyNumberFormat="0" applyProtection="0">
      <alignment horizontal="right" vertical="center" wrapText="1"/>
    </xf>
    <xf numFmtId="0" fontId="23" fillId="38" borderId="0" applyNumberFormat="0" applyBorder="0" applyProtection="0">
      <alignment horizontal="center" vertical="center"/>
    </xf>
    <xf numFmtId="0" fontId="24" fillId="37" borderId="13" applyNumberFormat="0" applyProtection="0">
      <alignment horizontal="center" vertical="center" wrapText="1"/>
    </xf>
    <xf numFmtId="0" fontId="19" fillId="0" borderId="0"/>
    <xf numFmtId="0" fontId="24" fillId="37" borderId="13" applyNumberFormat="0" applyProtection="0">
      <alignment horizontal="center" vertical="center" wrapText="1"/>
    </xf>
    <xf numFmtId="9" fontId="19" fillId="0" borderId="0" applyFont="0" applyFill="0" applyBorder="0" applyAlignment="0" applyProtection="0"/>
    <xf numFmtId="0" fontId="1" fillId="0" borderId="0"/>
    <xf numFmtId="0" fontId="19" fillId="0" borderId="0"/>
    <xf numFmtId="165" fontId="1" fillId="0" borderId="0"/>
    <xf numFmtId="165" fontId="1" fillId="0" borderId="0"/>
    <xf numFmtId="0" fontId="19" fillId="0" borderId="0"/>
    <xf numFmtId="0" fontId="24" fillId="37" borderId="13" applyNumberFormat="0" applyProtection="0">
      <alignment horizontal="center" vertical="center" wrapText="1"/>
    </xf>
    <xf numFmtId="0" fontId="1" fillId="0" borderId="0"/>
    <xf numFmtId="0" fontId="19" fillId="0" borderId="0">
      <alignment vertical="center"/>
    </xf>
    <xf numFmtId="0" fontId="1" fillId="0" borderId="0"/>
    <xf numFmtId="0" fontId="24" fillId="37" borderId="13" applyNumberFormat="0" applyProtection="0">
      <alignment horizontal="center" vertical="center" wrapText="1"/>
    </xf>
    <xf numFmtId="0" fontId="27" fillId="0" borderId="0" applyNumberFormat="0" applyFill="0" applyBorder="0" applyAlignment="0" applyProtection="0"/>
    <xf numFmtId="0" fontId="28"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29" fillId="0" borderId="0" applyFont="0" applyFill="0" applyBorder="0" applyAlignment="0" applyProtection="0"/>
    <xf numFmtId="43" fontId="19" fillId="0" borderId="0" applyFont="0" applyFill="0" applyBorder="0" applyAlignment="0" applyProtection="0"/>
    <xf numFmtId="0" fontId="1" fillId="0" borderId="0"/>
    <xf numFmtId="9" fontId="1" fillId="0" borderId="0" applyFont="0" applyFill="0" applyBorder="0" applyAlignment="0" applyProtection="0"/>
    <xf numFmtId="0" fontId="25"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164" fontId="19" fillId="0" borderId="0" applyFont="0" applyFill="0" applyBorder="0" applyAlignment="0" applyProtection="0"/>
    <xf numFmtId="0" fontId="1" fillId="0" borderId="0"/>
    <xf numFmtId="16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9" fontId="19" fillId="0" borderId="0" applyFont="0" applyFill="0" applyBorder="0" applyAlignment="0" applyProtection="0"/>
    <xf numFmtId="0" fontId="24" fillId="37" borderId="13" applyNumberFormat="0" applyProtection="0">
      <alignment horizontal="center" vertical="center" wrapText="1"/>
    </xf>
    <xf numFmtId="0" fontId="1" fillId="0" borderId="0"/>
    <xf numFmtId="0" fontId="19" fillId="0" borderId="0"/>
    <xf numFmtId="165" fontId="1" fillId="0" borderId="0"/>
    <xf numFmtId="165" fontId="1" fillId="0" borderId="0"/>
    <xf numFmtId="0" fontId="24" fillId="37" borderId="13" applyNumberFormat="0" applyProtection="0">
      <alignment horizontal="center" vertical="center" wrapText="1"/>
    </xf>
    <xf numFmtId="0" fontId="1" fillId="0" borderId="0"/>
    <xf numFmtId="0" fontId="1" fillId="0" borderId="0"/>
    <xf numFmtId="0" fontId="24" fillId="37" borderId="13" applyNumberFormat="0" applyProtection="0">
      <alignment horizontal="center" vertical="center" wrapText="1"/>
    </xf>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164" fontId="19" fillId="0" borderId="0" applyFont="0" applyFill="0" applyBorder="0" applyAlignment="0" applyProtection="0"/>
    <xf numFmtId="0" fontId="24" fillId="37" borderId="13" applyNumberFormat="0" applyProtection="0">
      <alignment horizontal="center" vertical="center" wrapText="1"/>
    </xf>
    <xf numFmtId="0" fontId="24" fillId="37" borderId="13" applyNumberFormat="0" applyProtection="0">
      <alignment horizontal="center" vertical="center" wrapText="1"/>
    </xf>
    <xf numFmtId="8" fontId="20" fillId="0" borderId="0" applyFill="0" applyBorder="0" applyAlignment="0" applyProtection="0"/>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1" fillId="0" borderId="0"/>
    <xf numFmtId="165" fontId="1" fillId="0" borderId="0"/>
    <xf numFmtId="165" fontId="1" fillId="0" borderId="0"/>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1" fillId="0" borderId="0"/>
    <xf numFmtId="0" fontId="1" fillId="0" borderId="0"/>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164" fontId="1" fillId="0" borderId="0" applyFont="0" applyFill="0" applyBorder="0" applyAlignment="0" applyProtection="0"/>
    <xf numFmtId="44" fontId="29" fillId="0" borderId="0" applyFont="0" applyFill="0" applyBorder="0" applyAlignment="0" applyProtection="0"/>
    <xf numFmtId="164" fontId="1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164" fontId="19" fillId="0" borderId="0" applyFont="0" applyFill="0" applyBorder="0" applyAlignment="0" applyProtection="0"/>
    <xf numFmtId="0" fontId="1" fillId="0" borderId="0"/>
    <xf numFmtId="16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24" fillId="37" borderId="13" applyNumberFormat="0" applyProtection="0">
      <alignment horizontal="center" vertical="center" wrapText="1"/>
    </xf>
    <xf numFmtId="0" fontId="1" fillId="0" borderId="0"/>
    <xf numFmtId="165" fontId="1" fillId="0" borderId="0"/>
    <xf numFmtId="165" fontId="1" fillId="0" borderId="0"/>
    <xf numFmtId="0" fontId="24" fillId="37" borderId="13" applyNumberFormat="0" applyProtection="0">
      <alignment horizontal="center" vertical="center" wrapText="1"/>
    </xf>
    <xf numFmtId="0" fontId="1" fillId="0" borderId="0"/>
    <xf numFmtId="0" fontId="1" fillId="0" borderId="0"/>
    <xf numFmtId="0" fontId="24" fillId="37" borderId="13" applyNumberFormat="0" applyProtection="0">
      <alignment horizontal="center" vertical="center" wrapText="1"/>
    </xf>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164" fontId="19" fillId="0" borderId="0" applyFont="0" applyFill="0" applyBorder="0" applyAlignment="0" applyProtection="0"/>
    <xf numFmtId="44" fontId="19" fillId="0" borderId="0" applyFont="0" applyFill="0" applyBorder="0" applyAlignment="0" applyProtection="0"/>
    <xf numFmtId="0" fontId="24" fillId="37" borderId="13" applyNumberFormat="0" applyProtection="0">
      <alignment horizontal="center" vertical="center" wrapText="1"/>
    </xf>
    <xf numFmtId="0" fontId="24" fillId="37" borderId="13" applyNumberFormat="0" applyProtection="0">
      <alignment horizontal="center" vertical="center" wrapText="1"/>
    </xf>
    <xf numFmtId="0" fontId="24" fillId="37" borderId="13" applyNumberFormat="0" applyProtection="0">
      <alignment horizontal="center" vertical="center" wrapText="1"/>
    </xf>
    <xf numFmtId="44" fontId="19" fillId="0" borderId="0" applyFont="0" applyFill="0" applyBorder="0" applyAlignment="0" applyProtection="0"/>
    <xf numFmtId="9" fontId="19" fillId="0" borderId="0" applyFont="0" applyFill="0" applyBorder="0" applyAlignment="0" applyProtection="0"/>
    <xf numFmtId="0" fontId="1" fillId="0" borderId="0"/>
    <xf numFmtId="0" fontId="1" fillId="0" borderId="0"/>
    <xf numFmtId="0" fontId="1" fillId="0" borderId="0"/>
  </cellStyleXfs>
  <cellXfs count="179">
    <xf numFmtId="0" fontId="0" fillId="0" borderId="0" xfId="0"/>
    <xf numFmtId="0" fontId="17" fillId="0" borderId="11" xfId="0" applyFont="1" applyBorder="1" applyAlignment="1">
      <alignment horizontal="center" vertical="center"/>
    </xf>
    <xf numFmtId="0" fontId="18" fillId="0" borderId="11" xfId="0" applyFont="1" applyBorder="1" applyAlignment="1">
      <alignment horizontal="center" vertical="center" wrapText="1"/>
    </xf>
    <xf numFmtId="0" fontId="14" fillId="34" borderId="11" xfId="34" applyFont="1" applyFill="1" applyBorder="1" applyAlignment="1" applyProtection="1">
      <alignment horizontal="center" vertical="center"/>
    </xf>
    <xf numFmtId="165" fontId="19" fillId="0" borderId="11" xfId="34" applyNumberFormat="1" applyFont="1" applyBorder="1" applyAlignment="1" applyProtection="1">
      <alignment horizontal="center" vertical="center"/>
    </xf>
    <xf numFmtId="0" fontId="19" fillId="34" borderId="11" xfId="34" applyFont="1" applyFill="1" applyBorder="1" applyAlignment="1" applyProtection="1">
      <alignment horizontal="left" vertical="center" wrapText="1"/>
    </xf>
    <xf numFmtId="165" fontId="19" fillId="0" borderId="0" xfId="34" applyNumberFormat="1" applyFont="1" applyBorder="1" applyAlignment="1" applyProtection="1">
      <alignment horizontal="center" vertical="center"/>
    </xf>
    <xf numFmtId="0" fontId="19" fillId="34" borderId="12" xfId="34" applyFont="1" applyFill="1" applyBorder="1" applyAlignment="1" applyProtection="1">
      <alignment horizontal="center"/>
    </xf>
    <xf numFmtId="0" fontId="14" fillId="34" borderId="11" xfId="34" applyFont="1" applyFill="1" applyBorder="1" applyAlignment="1" applyProtection="1">
      <alignment horizontal="center" vertical="center" wrapText="1"/>
    </xf>
    <xf numFmtId="167" fontId="19" fillId="0" borderId="0" xfId="119" applyNumberFormat="1" applyFont="1" applyBorder="1" applyAlignment="1" applyProtection="1">
      <alignment horizontal="center" vertical="center"/>
    </xf>
    <xf numFmtId="166" fontId="19" fillId="0" borderId="0" xfId="119" applyNumberFormat="1" applyFont="1" applyFill="1" applyBorder="1" applyAlignment="1" applyProtection="1">
      <alignment horizontal="left" vertical="center" wrapText="1"/>
    </xf>
    <xf numFmtId="164" fontId="19" fillId="0" borderId="0" xfId="119" applyFont="1" applyBorder="1" applyAlignment="1" applyProtection="1">
      <alignment horizontal="center" vertical="center"/>
    </xf>
    <xf numFmtId="165" fontId="26" fillId="0" borderId="11" xfId="34" applyNumberFormat="1" applyFont="1" applyBorder="1" applyAlignment="1" applyProtection="1">
      <alignment horizontal="center" vertical="center"/>
    </xf>
    <xf numFmtId="0" fontId="0" fillId="0" borderId="0" xfId="0" applyAlignment="1">
      <alignment vertical="center"/>
    </xf>
    <xf numFmtId="0" fontId="14" fillId="34" borderId="11" xfId="0" applyFont="1" applyFill="1" applyBorder="1" applyAlignment="1">
      <alignment horizontal="center" vertical="center" wrapText="1"/>
    </xf>
    <xf numFmtId="0" fontId="19" fillId="34" borderId="11" xfId="0" applyFont="1" applyFill="1" applyBorder="1" applyAlignment="1">
      <alignment horizontal="left" vertical="center" wrapText="1"/>
    </xf>
    <xf numFmtId="166" fontId="19" fillId="0" borderId="0" xfId="245" applyNumberFormat="1" applyFont="1" applyFill="1" applyBorder="1" applyAlignment="1" applyProtection="1">
      <alignment horizontal="left" vertical="center" wrapText="1"/>
    </xf>
    <xf numFmtId="167" fontId="19" fillId="0" borderId="0" xfId="245" applyNumberFormat="1" applyFont="1" applyBorder="1" applyAlignment="1" applyProtection="1">
      <alignment horizontal="center" vertical="center"/>
    </xf>
    <xf numFmtId="168" fontId="26" fillId="0" borderId="11" xfId="119" applyNumberFormat="1" applyFont="1" applyFill="1" applyBorder="1" applyAlignment="1" applyProtection="1">
      <alignment vertical="center" wrapText="1"/>
    </xf>
    <xf numFmtId="0" fontId="19" fillId="0" borderId="0" xfId="35"/>
    <xf numFmtId="0" fontId="19" fillId="0" borderId="0" xfId="35" applyAlignment="1">
      <alignment wrapText="1"/>
    </xf>
    <xf numFmtId="0" fontId="19" fillId="33" borderId="11" xfId="35" applyFill="1" applyBorder="1" applyAlignment="1">
      <alignment wrapText="1"/>
    </xf>
    <xf numFmtId="0" fontId="14" fillId="33" borderId="11" xfId="35" applyFont="1" applyFill="1" applyBorder="1" applyAlignment="1">
      <alignment wrapText="1"/>
    </xf>
    <xf numFmtId="0" fontId="19" fillId="0" borderId="11" xfId="35" applyBorder="1" applyAlignment="1">
      <alignment wrapText="1"/>
    </xf>
    <xf numFmtId="0" fontId="34" fillId="0" borderId="11" xfId="35" applyFont="1" applyBorder="1" applyAlignment="1">
      <alignment wrapText="1"/>
    </xf>
    <xf numFmtId="0" fontId="19" fillId="0" borderId="11" xfId="35" applyBorder="1" applyAlignment="1">
      <alignment vertical="top" wrapText="1"/>
    </xf>
    <xf numFmtId="168" fontId="19" fillId="41" borderId="11" xfId="119" applyNumberFormat="1" applyFont="1" applyFill="1" applyBorder="1" applyAlignment="1" applyProtection="1">
      <alignment vertical="center" wrapText="1"/>
    </xf>
    <xf numFmtId="164" fontId="19" fillId="41" borderId="11" xfId="119" applyFont="1" applyFill="1" applyBorder="1" applyAlignment="1" applyProtection="1">
      <alignment horizontal="center" vertical="center"/>
    </xf>
    <xf numFmtId="167" fontId="19" fillId="41" borderId="11" xfId="119" applyNumberFormat="1" applyFont="1" applyFill="1" applyBorder="1" applyAlignment="1" applyProtection="1">
      <alignment horizontal="center" vertical="center"/>
    </xf>
    <xf numFmtId="166" fontId="19" fillId="41" borderId="11" xfId="119" applyNumberFormat="1" applyFont="1" applyFill="1" applyBorder="1" applyAlignment="1" applyProtection="1">
      <alignment horizontal="center" vertical="center"/>
    </xf>
    <xf numFmtId="44" fontId="19" fillId="40" borderId="11" xfId="1" applyFont="1" applyFill="1" applyBorder="1" applyAlignment="1" applyProtection="1">
      <alignment horizontal="center" vertical="center"/>
    </xf>
    <xf numFmtId="170" fontId="19" fillId="41" borderId="11" xfId="119" applyNumberFormat="1" applyFont="1" applyFill="1" applyBorder="1" applyAlignment="1" applyProtection="1">
      <alignment horizontal="center" vertical="center"/>
    </xf>
    <xf numFmtId="0" fontId="17" fillId="41" borderId="11" xfId="0" applyFont="1" applyFill="1" applyBorder="1" applyAlignment="1">
      <alignment horizontal="center" vertical="center"/>
    </xf>
    <xf numFmtId="14" fontId="18" fillId="41" borderId="11" xfId="0" applyNumberFormat="1" applyFont="1" applyFill="1" applyBorder="1" applyAlignment="1">
      <alignment horizontal="center" vertical="center" wrapText="1"/>
    </xf>
    <xf numFmtId="0" fontId="18" fillId="41" borderId="11" xfId="0" applyFont="1" applyFill="1" applyBorder="1" applyAlignment="1">
      <alignment horizontal="center" vertical="center" wrapText="1"/>
    </xf>
    <xf numFmtId="168" fontId="26" fillId="40" borderId="11" xfId="119" applyNumberFormat="1" applyFont="1" applyFill="1" applyBorder="1" applyAlignment="1" applyProtection="1">
      <alignment vertical="center" wrapText="1"/>
    </xf>
    <xf numFmtId="0" fontId="39" fillId="0" borderId="0" xfId="0" applyFont="1"/>
    <xf numFmtId="3" fontId="39" fillId="0" borderId="0" xfId="0" applyNumberFormat="1" applyFont="1" applyAlignment="1">
      <alignment horizontal="left"/>
    </xf>
    <xf numFmtId="3" fontId="39" fillId="0" borderId="0" xfId="0" applyNumberFormat="1" applyFont="1"/>
    <xf numFmtId="14" fontId="39" fillId="0" borderId="0" xfId="0" applyNumberFormat="1" applyFont="1"/>
    <xf numFmtId="172" fontId="39" fillId="0" borderId="0" xfId="0" applyNumberFormat="1" applyFont="1"/>
    <xf numFmtId="173" fontId="39" fillId="0" borderId="0" xfId="0" applyNumberFormat="1" applyFont="1"/>
    <xf numFmtId="4" fontId="40" fillId="0" borderId="0" xfId="0" applyNumberFormat="1" applyFont="1" applyAlignment="1">
      <alignment horizontal="center"/>
    </xf>
    <xf numFmtId="3" fontId="41" fillId="0" borderId="0" xfId="0" applyNumberFormat="1" applyFont="1" applyAlignment="1">
      <alignment horizontal="left"/>
    </xf>
    <xf numFmtId="3" fontId="40" fillId="0" borderId="0" xfId="0" quotePrefix="1" applyNumberFormat="1" applyFont="1" applyAlignment="1">
      <alignment horizontal="center"/>
    </xf>
    <xf numFmtId="3" fontId="40" fillId="0" borderId="0" xfId="0" applyNumberFormat="1" applyFont="1" applyAlignment="1">
      <alignment horizontal="center"/>
    </xf>
    <xf numFmtId="171" fontId="40" fillId="0" borderId="0" xfId="0" applyNumberFormat="1" applyFont="1" applyAlignment="1">
      <alignment horizontal="center"/>
    </xf>
    <xf numFmtId="173" fontId="40" fillId="0" borderId="0" xfId="0" applyNumberFormat="1" applyFont="1" applyAlignment="1">
      <alignment horizontal="center"/>
    </xf>
    <xf numFmtId="4" fontId="40" fillId="0" borderId="0" xfId="0" applyNumberFormat="1" applyFont="1" applyAlignment="1">
      <alignment horizontal="left"/>
    </xf>
    <xf numFmtId="0" fontId="39" fillId="0" borderId="0" xfId="0" applyFont="1" applyAlignment="1">
      <alignment horizontal="center"/>
    </xf>
    <xf numFmtId="3" fontId="40" fillId="0" borderId="0" xfId="0" applyNumberFormat="1" applyFont="1" applyAlignment="1">
      <alignment horizontal="left"/>
    </xf>
    <xf numFmtId="14" fontId="40" fillId="0" borderId="0" xfId="0" quotePrefix="1" applyNumberFormat="1" applyFont="1" applyAlignment="1">
      <alignment horizontal="center"/>
    </xf>
    <xf numFmtId="4" fontId="40" fillId="0" borderId="0" xfId="0" applyNumberFormat="1" applyFont="1"/>
    <xf numFmtId="3" fontId="40" fillId="0" borderId="0" xfId="0" applyNumberFormat="1" applyFont="1"/>
    <xf numFmtId="0" fontId="40" fillId="0" borderId="0" xfId="0" applyFont="1"/>
    <xf numFmtId="4" fontId="41" fillId="0" borderId="0" xfId="0" applyNumberFormat="1" applyFont="1"/>
    <xf numFmtId="4" fontId="40" fillId="46" borderId="0" xfId="0" applyNumberFormat="1" applyFont="1" applyFill="1" applyAlignment="1">
      <alignment horizontal="left"/>
    </xf>
    <xf numFmtId="3" fontId="40" fillId="47" borderId="0" xfId="0" applyNumberFormat="1" applyFont="1" applyFill="1" applyAlignment="1">
      <alignment horizontal="center"/>
    </xf>
    <xf numFmtId="4" fontId="40" fillId="0" borderId="0" xfId="0" quotePrefix="1" applyNumberFormat="1" applyFont="1"/>
    <xf numFmtId="3" fontId="40" fillId="0" borderId="0" xfId="0" quotePrefix="1" applyNumberFormat="1" applyFont="1"/>
    <xf numFmtId="0" fontId="40" fillId="0" borderId="0" xfId="0" quotePrefix="1" applyFont="1"/>
    <xf numFmtId="174" fontId="40" fillId="0" borderId="0" xfId="0" applyNumberFormat="1" applyFont="1" applyAlignment="1">
      <alignment horizontal="left"/>
    </xf>
    <xf numFmtId="4" fontId="40" fillId="41" borderId="0" xfId="0" applyNumberFormat="1" applyFont="1" applyFill="1" applyAlignment="1">
      <alignment horizontal="left"/>
    </xf>
    <xf numFmtId="3" fontId="41" fillId="0" borderId="0" xfId="0" applyNumberFormat="1" applyFont="1" applyAlignment="1">
      <alignment horizontal="left" vertical="center" wrapText="1"/>
    </xf>
    <xf numFmtId="3" fontId="41" fillId="0" borderId="0" xfId="0" applyNumberFormat="1" applyFont="1" applyAlignment="1">
      <alignment horizontal="center" vertical="center" wrapText="1"/>
    </xf>
    <xf numFmtId="0" fontId="41" fillId="0" borderId="0" xfId="0" applyFont="1" applyAlignment="1">
      <alignment horizontal="center" vertical="center" wrapText="1"/>
    </xf>
    <xf numFmtId="171" fontId="41" fillId="0" borderId="0" xfId="0" applyNumberFormat="1" applyFont="1" applyAlignment="1">
      <alignment horizontal="center" vertical="center" wrapText="1"/>
    </xf>
    <xf numFmtId="14" fontId="41" fillId="0" borderId="0" xfId="0" applyNumberFormat="1" applyFont="1" applyAlignment="1">
      <alignment horizontal="center" vertical="center" wrapText="1"/>
    </xf>
    <xf numFmtId="172" fontId="41" fillId="0" borderId="0" xfId="0" applyNumberFormat="1" applyFont="1" applyAlignment="1">
      <alignment horizontal="center" vertical="center" wrapText="1"/>
    </xf>
    <xf numFmtId="3" fontId="42" fillId="0" borderId="0" xfId="0" applyNumberFormat="1" applyFont="1" applyAlignment="1">
      <alignment horizontal="left"/>
    </xf>
    <xf numFmtId="3" fontId="14" fillId="48" borderId="0" xfId="0" applyNumberFormat="1" applyFont="1" applyFill="1"/>
    <xf numFmtId="1" fontId="14" fillId="42" borderId="0" xfId="0" applyNumberFormat="1" applyFont="1" applyFill="1" applyAlignment="1">
      <alignment horizontal="left"/>
    </xf>
    <xf numFmtId="0" fontId="39" fillId="0" borderId="0" xfId="0" applyFont="1" applyAlignment="1">
      <alignment horizontal="right"/>
    </xf>
    <xf numFmtId="3" fontId="39" fillId="46" borderId="0" xfId="0" applyNumberFormat="1" applyFont="1" applyFill="1"/>
    <xf numFmtId="3" fontId="42" fillId="46" borderId="0" xfId="0" applyNumberFormat="1" applyFont="1" applyFill="1" applyAlignment="1">
      <alignment horizontal="right"/>
    </xf>
    <xf numFmtId="1" fontId="43" fillId="42" borderId="0" xfId="0" applyNumberFormat="1" applyFont="1" applyFill="1" applyAlignment="1">
      <alignment horizontal="left"/>
    </xf>
    <xf numFmtId="3" fontId="39" fillId="41" borderId="0" xfId="0" applyNumberFormat="1" applyFont="1" applyFill="1"/>
    <xf numFmtId="3" fontId="42" fillId="41" borderId="0" xfId="0" applyNumberFormat="1" applyFont="1" applyFill="1" applyAlignment="1">
      <alignment horizontal="right"/>
    </xf>
    <xf numFmtId="0" fontId="19" fillId="0" borderId="11" xfId="35" applyBorder="1" applyAlignment="1">
      <alignment vertical="center" wrapText="1"/>
    </xf>
    <xf numFmtId="0" fontId="44" fillId="0" borderId="0" xfId="0" applyFont="1"/>
    <xf numFmtId="0" fontId="1" fillId="0" borderId="0" xfId="93"/>
    <xf numFmtId="0" fontId="45" fillId="0" borderId="0" xfId="93" applyFont="1" applyAlignment="1">
      <alignment horizontal="left" vertical="center"/>
    </xf>
    <xf numFmtId="0" fontId="14" fillId="0" borderId="11" xfId="93" applyFont="1" applyBorder="1" applyAlignment="1">
      <alignment horizontal="center" vertical="center"/>
    </xf>
    <xf numFmtId="0" fontId="14" fillId="0" borderId="11" xfId="93" applyFont="1" applyBorder="1" applyAlignment="1">
      <alignment horizontal="center" vertical="center" wrapText="1"/>
    </xf>
    <xf numFmtId="0" fontId="14" fillId="0" borderId="11" xfId="35" applyFont="1" applyBorder="1" applyAlignment="1">
      <alignment horizontal="center" vertical="center" wrapText="1"/>
    </xf>
    <xf numFmtId="175" fontId="0" fillId="0" borderId="11" xfId="335" applyNumberFormat="1" applyFont="1" applyFill="1" applyBorder="1" applyAlignment="1" applyProtection="1">
      <alignment horizontal="center" vertical="center"/>
      <protection locked="0"/>
    </xf>
    <xf numFmtId="176" fontId="0" fillId="0" borderId="11" xfId="335" applyNumberFormat="1" applyFont="1" applyFill="1" applyBorder="1" applyAlignment="1" applyProtection="1">
      <alignment horizontal="center" vertical="center"/>
      <protection locked="0"/>
    </xf>
    <xf numFmtId="9" fontId="0" fillId="0" borderId="11" xfId="340" applyFont="1" applyFill="1" applyBorder="1" applyAlignment="1" applyProtection="1">
      <alignment horizontal="center" vertical="center"/>
      <protection locked="0"/>
    </xf>
    <xf numFmtId="0" fontId="14" fillId="0" borderId="0" xfId="93" applyFont="1" applyBorder="1" applyAlignment="1">
      <alignment horizontal="center" vertical="center"/>
    </xf>
    <xf numFmtId="175" fontId="19" fillId="41" borderId="11" xfId="119" applyNumberFormat="1" applyFont="1" applyFill="1" applyBorder="1" applyAlignment="1" applyProtection="1">
      <alignment horizontal="center" vertical="center"/>
    </xf>
    <xf numFmtId="0" fontId="0" fillId="0" borderId="0" xfId="0" applyBorder="1"/>
    <xf numFmtId="0" fontId="19" fillId="0" borderId="0" xfId="34" applyBorder="1" applyAlignment="1">
      <alignment vertical="center"/>
    </xf>
    <xf numFmtId="0" fontId="14" fillId="34" borderId="0" xfId="93" applyFont="1" applyFill="1" applyBorder="1" applyAlignment="1">
      <alignment horizontal="center" vertical="center" wrapText="1"/>
    </xf>
    <xf numFmtId="0" fontId="14" fillId="34" borderId="0" xfId="342" applyFont="1" applyFill="1" applyBorder="1" applyAlignment="1">
      <alignment horizontal="center" vertical="center" wrapText="1"/>
    </xf>
    <xf numFmtId="0" fontId="1" fillId="0" borderId="0" xfId="93" applyBorder="1" applyAlignment="1">
      <alignment vertical="center"/>
    </xf>
    <xf numFmtId="0" fontId="1" fillId="0" borderId="0" xfId="93" applyBorder="1"/>
    <xf numFmtId="4" fontId="1" fillId="40" borderId="0" xfId="93" applyNumberFormat="1" applyFill="1" applyBorder="1"/>
    <xf numFmtId="3" fontId="1" fillId="0" borderId="0" xfId="93" applyNumberFormat="1" applyBorder="1"/>
    <xf numFmtId="177" fontId="1" fillId="40" borderId="0" xfId="93" applyNumberFormat="1" applyFill="1" applyBorder="1"/>
    <xf numFmtId="3" fontId="14" fillId="0" borderId="0" xfId="93" applyNumberFormat="1" applyFont="1" applyBorder="1"/>
    <xf numFmtId="178" fontId="1" fillId="40" borderId="0" xfId="93" applyNumberFormat="1" applyFill="1" applyBorder="1"/>
    <xf numFmtId="178" fontId="46" fillId="0" borderId="0" xfId="34" applyNumberFormat="1" applyFont="1" applyBorder="1" applyAlignment="1">
      <alignment horizontal="center" vertical="center"/>
    </xf>
    <xf numFmtId="4" fontId="14" fillId="40" borderId="0" xfId="93" applyNumberFormat="1" applyFont="1" applyFill="1" applyBorder="1"/>
    <xf numFmtId="0" fontId="0" fillId="0" borderId="0" xfId="0" applyBorder="1" applyAlignment="1"/>
    <xf numFmtId="0" fontId="19" fillId="34" borderId="0" xfId="0" applyFont="1" applyFill="1" applyBorder="1" applyAlignment="1">
      <alignment vertical="center" wrapText="1"/>
    </xf>
    <xf numFmtId="165" fontId="19" fillId="0" borderId="0" xfId="0" applyNumberFormat="1" applyFont="1" applyBorder="1" applyAlignment="1">
      <alignment horizontal="center" vertical="center"/>
    </xf>
    <xf numFmtId="178" fontId="1" fillId="0" borderId="0" xfId="93" applyNumberFormat="1" applyBorder="1"/>
    <xf numFmtId="178" fontId="49" fillId="0" borderId="0" xfId="34" applyNumberFormat="1" applyFont="1" applyBorder="1" applyAlignment="1">
      <alignment horizontal="center" vertical="center"/>
    </xf>
    <xf numFmtId="0" fontId="14" fillId="34" borderId="11" xfId="0" applyFont="1" applyFill="1" applyBorder="1" applyAlignment="1">
      <alignment horizontal="center" wrapText="1"/>
    </xf>
    <xf numFmtId="0" fontId="14" fillId="34" borderId="16" xfId="34" applyFont="1" applyFill="1" applyBorder="1" applyAlignment="1" applyProtection="1">
      <alignment horizontal="center" vertical="center" wrapText="1"/>
    </xf>
    <xf numFmtId="0" fontId="16" fillId="0" borderId="11" xfId="34" applyFont="1" applyBorder="1" applyProtection="1"/>
    <xf numFmtId="0" fontId="19" fillId="0" borderId="11" xfId="34" applyBorder="1"/>
    <xf numFmtId="0" fontId="26" fillId="34" borderId="11" xfId="34" applyFont="1" applyFill="1" applyBorder="1" applyAlignment="1" applyProtection="1">
      <alignment horizontal="center" vertical="center" wrapText="1"/>
    </xf>
    <xf numFmtId="0" fontId="19" fillId="34" borderId="19" xfId="34" applyFont="1" applyFill="1" applyBorder="1" applyAlignment="1" applyProtection="1">
      <alignment horizontal="center"/>
    </xf>
    <xf numFmtId="0" fontId="19" fillId="34" borderId="24" xfId="0" applyFont="1" applyFill="1" applyBorder="1" applyAlignment="1">
      <alignment vertical="center" wrapText="1"/>
    </xf>
    <xf numFmtId="0" fontId="26" fillId="34" borderId="11" xfId="0" applyFont="1" applyFill="1" applyBorder="1" applyAlignment="1">
      <alignment horizontal="center" vertical="center" wrapText="1"/>
    </xf>
    <xf numFmtId="0" fontId="0" fillId="0" borderId="0" xfId="0" applyAlignment="1">
      <alignment horizontal="center" vertical="center" wrapText="1"/>
    </xf>
    <xf numFmtId="1" fontId="0" fillId="0" borderId="0" xfId="0" applyNumberFormat="1" applyAlignment="1">
      <alignment horizontal="center"/>
    </xf>
    <xf numFmtId="0" fontId="1" fillId="40" borderId="0" xfId="343" applyNumberFormat="1" applyFill="1"/>
    <xf numFmtId="0" fontId="50" fillId="33" borderId="10" xfId="35" applyFont="1" applyFill="1" applyBorder="1" applyAlignment="1">
      <alignment vertical="center" wrapText="1"/>
    </xf>
    <xf numFmtId="0" fontId="50" fillId="51" borderId="10" xfId="35" applyFont="1" applyFill="1" applyBorder="1" applyAlignment="1">
      <alignment vertical="center" wrapText="1"/>
    </xf>
    <xf numFmtId="0" fontId="51" fillId="51" borderId="19" xfId="35" applyFont="1" applyFill="1" applyBorder="1" applyAlignment="1">
      <alignment horizontal="center" vertical="center" wrapText="1"/>
    </xf>
    <xf numFmtId="0" fontId="19" fillId="0" borderId="10" xfId="35" applyBorder="1" applyAlignment="1">
      <alignment vertical="center" wrapText="1"/>
    </xf>
    <xf numFmtId="0" fontId="19" fillId="0" borderId="11" xfId="35" applyFill="1" applyBorder="1" applyAlignment="1">
      <alignment vertical="center" wrapText="1"/>
    </xf>
    <xf numFmtId="167" fontId="19" fillId="41" borderId="11" xfId="119" applyNumberFormat="1" applyFont="1" applyFill="1" applyBorder="1" applyAlignment="1" applyProtection="1">
      <alignment horizontal="center" vertical="center"/>
    </xf>
    <xf numFmtId="173" fontId="40" fillId="0" borderId="0" xfId="0" quotePrefix="1" applyNumberFormat="1" applyFont="1" applyFill="1" applyAlignment="1">
      <alignment horizontal="center"/>
    </xf>
    <xf numFmtId="173" fontId="40" fillId="0" borderId="0" xfId="0" applyNumberFormat="1" applyFont="1" applyFill="1" applyAlignment="1">
      <alignment horizontal="center"/>
    </xf>
    <xf numFmtId="171" fontId="39" fillId="0" borderId="0" xfId="0" applyNumberFormat="1" applyFont="1" applyAlignment="1">
      <alignment horizontal="center"/>
    </xf>
    <xf numFmtId="0" fontId="39" fillId="0" borderId="0" xfId="0" applyFont="1" applyAlignment="1">
      <alignment horizontal="left"/>
    </xf>
    <xf numFmtId="3" fontId="40" fillId="0" borderId="0" xfId="341" quotePrefix="1" applyNumberFormat="1" applyFont="1" applyAlignment="1">
      <alignment horizontal="left"/>
    </xf>
    <xf numFmtId="172" fontId="40" fillId="0" borderId="0" xfId="341" applyNumberFormat="1" applyFont="1" applyAlignment="1">
      <alignment horizontal="center"/>
    </xf>
    <xf numFmtId="4" fontId="40" fillId="0" borderId="0" xfId="341" applyNumberFormat="1" applyFont="1" applyAlignment="1">
      <alignment horizontal="left"/>
    </xf>
    <xf numFmtId="3" fontId="40" fillId="0" borderId="0" xfId="341" applyNumberFormat="1" applyFont="1" applyAlignment="1">
      <alignment horizontal="center"/>
    </xf>
    <xf numFmtId="179" fontId="40" fillId="0" borderId="0" xfId="0" applyNumberFormat="1" applyFont="1"/>
    <xf numFmtId="179" fontId="40" fillId="0" borderId="0" xfId="0" quotePrefix="1" applyNumberFormat="1" applyFont="1"/>
    <xf numFmtId="14" fontId="40" fillId="50" borderId="0" xfId="0" quotePrefix="1" applyNumberFormat="1" applyFont="1" applyFill="1" applyAlignment="1">
      <alignment horizontal="center"/>
    </xf>
    <xf numFmtId="4" fontId="39" fillId="0" borderId="0" xfId="0" applyNumberFormat="1" applyFont="1"/>
    <xf numFmtId="164" fontId="0" fillId="40" borderId="0" xfId="0" applyNumberFormat="1" applyFill="1"/>
    <xf numFmtId="4" fontId="39" fillId="0" borderId="0" xfId="0" applyNumberFormat="1" applyFont="1" applyAlignment="1">
      <alignment horizontal="left"/>
    </xf>
    <xf numFmtId="0" fontId="14" fillId="34" borderId="0" xfId="93" applyFont="1" applyFill="1" applyBorder="1" applyAlignment="1">
      <alignment horizontal="center" vertical="center" wrapText="1"/>
    </xf>
    <xf numFmtId="0" fontId="14" fillId="34" borderId="11" xfId="0" applyFont="1" applyFill="1" applyBorder="1" applyAlignment="1">
      <alignment horizontal="center" vertical="center" wrapText="1"/>
    </xf>
    <xf numFmtId="0" fontId="38" fillId="44" borderId="0" xfId="35" applyFont="1" applyFill="1" applyAlignment="1">
      <alignment horizontal="center"/>
    </xf>
    <xf numFmtId="3" fontId="42" fillId="0" borderId="0" xfId="0" applyNumberFormat="1" applyFont="1" applyAlignment="1">
      <alignment horizontal="center"/>
    </xf>
    <xf numFmtId="0" fontId="42" fillId="0" borderId="0" xfId="0" applyFont="1" applyAlignment="1">
      <alignment horizontal="center"/>
    </xf>
    <xf numFmtId="0" fontId="19" fillId="34" borderId="18" xfId="34" applyFont="1" applyFill="1" applyBorder="1" applyAlignment="1" applyProtection="1">
      <alignment horizontal="center" vertical="center" wrapText="1"/>
    </xf>
    <xf numFmtId="0" fontId="19" fillId="34" borderId="12" xfId="34" applyFont="1" applyFill="1" applyBorder="1" applyAlignment="1" applyProtection="1">
      <alignment horizontal="center" vertical="center" wrapText="1"/>
    </xf>
    <xf numFmtId="166" fontId="19" fillId="41" borderId="11" xfId="245" applyNumberFormat="1" applyFont="1" applyFill="1" applyBorder="1" applyAlignment="1" applyProtection="1">
      <alignment horizontal="center" vertical="center"/>
    </xf>
    <xf numFmtId="169" fontId="19" fillId="41" borderId="11" xfId="245" applyNumberFormat="1" applyFont="1" applyFill="1" applyBorder="1" applyAlignment="1" applyProtection="1">
      <alignment horizontal="center" vertical="center"/>
    </xf>
    <xf numFmtId="9" fontId="19" fillId="0" borderId="11" xfId="340" applyFont="1" applyBorder="1" applyAlignment="1" applyProtection="1">
      <alignment horizontal="center" vertical="center"/>
    </xf>
    <xf numFmtId="167" fontId="19" fillId="41" borderId="11" xfId="245" applyNumberFormat="1" applyFont="1" applyFill="1" applyBorder="1" applyAlignment="1" applyProtection="1">
      <alignment horizontal="center" vertical="center"/>
    </xf>
    <xf numFmtId="0" fontId="19" fillId="34" borderId="24" xfId="0" applyFont="1" applyFill="1" applyBorder="1" applyAlignment="1">
      <alignment horizontal="center" vertical="center" wrapText="1"/>
    </xf>
    <xf numFmtId="0" fontId="19" fillId="34" borderId="22" xfId="0" applyFont="1" applyFill="1" applyBorder="1" applyAlignment="1">
      <alignment horizontal="center" vertical="center" wrapText="1"/>
    </xf>
    <xf numFmtId="0" fontId="18" fillId="43" borderId="20" xfId="0" applyFont="1" applyFill="1" applyBorder="1" applyAlignment="1">
      <alignment horizontal="center"/>
    </xf>
    <xf numFmtId="0" fontId="14" fillId="34" borderId="18" xfId="34" applyFont="1" applyFill="1" applyBorder="1" applyAlignment="1" applyProtection="1">
      <alignment horizontal="center" vertical="center"/>
    </xf>
    <xf numFmtId="0" fontId="14" fillId="34" borderId="11" xfId="0" applyFont="1" applyFill="1" applyBorder="1" applyAlignment="1">
      <alignment horizontal="center" vertical="center" wrapText="1"/>
    </xf>
    <xf numFmtId="0" fontId="14" fillId="34" borderId="11" xfId="0" applyFont="1" applyFill="1" applyBorder="1" applyAlignment="1">
      <alignment horizontal="center" vertical="center"/>
    </xf>
    <xf numFmtId="164" fontId="19" fillId="41" borderId="18" xfId="119" applyNumberFormat="1" applyFont="1" applyFill="1" applyBorder="1" applyAlignment="1" applyProtection="1">
      <alignment horizontal="center" vertical="center"/>
    </xf>
    <xf numFmtId="164" fontId="19" fillId="41" borderId="19" xfId="119" applyNumberFormat="1" applyFont="1" applyFill="1" applyBorder="1" applyAlignment="1" applyProtection="1">
      <alignment horizontal="center" vertical="center"/>
    </xf>
    <xf numFmtId="164" fontId="19" fillId="41" borderId="12" xfId="119" applyNumberFormat="1" applyFont="1" applyFill="1" applyBorder="1" applyAlignment="1" applyProtection="1">
      <alignment horizontal="center" vertical="center"/>
    </xf>
    <xf numFmtId="0" fontId="19" fillId="34" borderId="23" xfId="0" applyFont="1" applyFill="1" applyBorder="1" applyAlignment="1">
      <alignment horizontal="center" vertical="center" wrapText="1"/>
    </xf>
    <xf numFmtId="0" fontId="18" fillId="45" borderId="20" xfId="34" applyFont="1" applyFill="1" applyBorder="1" applyAlignment="1" applyProtection="1">
      <alignment horizontal="center"/>
    </xf>
    <xf numFmtId="0" fontId="31" fillId="42" borderId="14" xfId="0" applyFont="1" applyFill="1" applyBorder="1" applyAlignment="1">
      <alignment horizontal="center" vertical="center"/>
    </xf>
    <xf numFmtId="0" fontId="31" fillId="42" borderId="15" xfId="0" applyFont="1" applyFill="1" applyBorder="1" applyAlignment="1">
      <alignment horizontal="center" vertical="center"/>
    </xf>
    <xf numFmtId="0" fontId="31" fillId="42" borderId="21" xfId="0" applyFont="1" applyFill="1" applyBorder="1" applyAlignment="1">
      <alignment horizontal="center" vertical="center"/>
    </xf>
    <xf numFmtId="0" fontId="33" fillId="33" borderId="20" xfId="0" applyFont="1" applyFill="1" applyBorder="1" applyAlignment="1">
      <alignment horizontal="left" vertical="center"/>
    </xf>
    <xf numFmtId="0" fontId="32" fillId="39" borderId="14" xfId="34" applyFont="1" applyFill="1" applyBorder="1" applyAlignment="1" applyProtection="1">
      <alignment horizontal="center"/>
    </xf>
    <xf numFmtId="0" fontId="32" fillId="39" borderId="15" xfId="34" applyFont="1" applyFill="1" applyBorder="1" applyAlignment="1" applyProtection="1">
      <alignment horizontal="center"/>
    </xf>
    <xf numFmtId="0" fontId="14" fillId="0" borderId="17" xfId="93" applyFont="1" applyBorder="1" applyAlignment="1">
      <alignment horizontal="center" vertical="center" wrapText="1"/>
    </xf>
    <xf numFmtId="0" fontId="14" fillId="0" borderId="16" xfId="93" applyFont="1" applyBorder="1" applyAlignment="1">
      <alignment horizontal="center" vertical="center" wrapText="1"/>
    </xf>
    <xf numFmtId="0" fontId="46" fillId="0" borderId="17" xfId="93" applyFont="1" applyBorder="1" applyAlignment="1">
      <alignment horizontal="center" vertical="center"/>
    </xf>
    <xf numFmtId="0" fontId="46" fillId="0" borderId="10" xfId="93" applyFont="1" applyBorder="1" applyAlignment="1">
      <alignment horizontal="center" vertical="center"/>
    </xf>
    <xf numFmtId="0" fontId="46" fillId="0" borderId="16" xfId="93" applyFont="1" applyBorder="1" applyAlignment="1">
      <alignment horizontal="center" vertical="center"/>
    </xf>
    <xf numFmtId="0" fontId="48" fillId="0" borderId="0" xfId="93" applyFont="1" applyAlignment="1">
      <alignment horizontal="center"/>
    </xf>
    <xf numFmtId="0" fontId="47" fillId="49" borderId="0" xfId="93" applyFont="1" applyFill="1" applyAlignment="1">
      <alignment horizontal="center"/>
    </xf>
    <xf numFmtId="0" fontId="46" fillId="50" borderId="0" xfId="93" applyFont="1" applyFill="1" applyBorder="1" applyAlignment="1">
      <alignment horizontal="center" vertical="center"/>
    </xf>
    <xf numFmtId="0" fontId="14" fillId="45" borderId="0" xfId="93" applyFont="1" applyFill="1" applyBorder="1" applyAlignment="1">
      <alignment horizontal="center" vertical="center"/>
    </xf>
    <xf numFmtId="0" fontId="14" fillId="34" borderId="0" xfId="93" applyFont="1" applyFill="1" applyBorder="1" applyAlignment="1">
      <alignment horizontal="center" vertical="center" wrapText="1"/>
    </xf>
    <xf numFmtId="0" fontId="14" fillId="43" borderId="0" xfId="93" applyFont="1" applyFill="1" applyBorder="1" applyAlignment="1">
      <alignment horizontal="center" vertical="center"/>
    </xf>
    <xf numFmtId="0" fontId="11" fillId="49" borderId="0" xfId="93" applyFont="1" applyFill="1" applyBorder="1" applyAlignment="1">
      <alignment horizontal="center" vertical="center"/>
    </xf>
  </cellXfs>
  <cellStyles count="344">
    <cellStyle name="20 % - Accent1" xfId="17" builtinId="30" customBuiltin="1"/>
    <cellStyle name="20 % - Accent1 2" xfId="75" xr:uid="{5B200041-6EF8-4CA7-BAF6-DA3D95C3DD82}"/>
    <cellStyle name="20 % - Accent1 2 2" xfId="150" xr:uid="{04FCFD5F-6D81-4C9B-9FB9-9B5CB123009C}"/>
    <cellStyle name="20 % - Accent1 2 2 2" xfId="294" xr:uid="{C1E29EDA-8D38-4121-A5FD-DBE6B741CF85}"/>
    <cellStyle name="20 % - Accent1 2 3" xfId="223" xr:uid="{083A9DBA-6890-409C-8875-9A04A4F78944}"/>
    <cellStyle name="20 % - Accent1 3" xfId="104" xr:uid="{46DA56D2-6CD8-4035-A61F-82A44D08263A}"/>
    <cellStyle name="20 % - Accent1 3 2" xfId="175" xr:uid="{760BE83A-D953-404B-82BA-B3D662C2F753}"/>
    <cellStyle name="20 % - Accent1 3 2 2" xfId="319" xr:uid="{BD6A0807-87F6-42AE-BDBD-01C3BA08A79D}"/>
    <cellStyle name="20 % - Accent1 3 3" xfId="250" xr:uid="{7A5A05C6-0786-4BF8-A02E-22AD01F826E3}"/>
    <cellStyle name="20 % - Accent1 4" xfId="122" xr:uid="{67EC09FF-5140-429A-A38E-FF89CAF34526}"/>
    <cellStyle name="20 % - Accent1 4 2" xfId="268" xr:uid="{2E65CCBD-E433-4ABA-837F-9F90472017C6}"/>
    <cellStyle name="20 % - Accent1 5" xfId="206" xr:uid="{FCD0A1C3-F805-4978-9C33-D35F978199BE}"/>
    <cellStyle name="20 % - Accent2" xfId="20" builtinId="34" customBuiltin="1"/>
    <cellStyle name="20 % - Accent2 2" xfId="76" xr:uid="{E0A0B817-E7B1-4063-91CF-E00AFB854BA5}"/>
    <cellStyle name="20 % - Accent2 2 2" xfId="151" xr:uid="{AF682DCD-BEE4-404E-835A-1EB732B702B5}"/>
    <cellStyle name="20 % - Accent2 2 2 2" xfId="295" xr:uid="{783FC990-DE73-410A-A5FF-8AA27B3E4768}"/>
    <cellStyle name="20 % - Accent2 2 3" xfId="224" xr:uid="{E02B5610-5BC1-49A8-A158-F3CBC8A1BADB}"/>
    <cellStyle name="20 % - Accent2 3" xfId="105" xr:uid="{E383590F-415F-4B32-8F98-66C15A013BFF}"/>
    <cellStyle name="20 % - Accent2 3 2" xfId="176" xr:uid="{AFD0E485-5810-4027-AC3D-3BA53F8DC479}"/>
    <cellStyle name="20 % - Accent2 3 2 2" xfId="320" xr:uid="{FAC1FF44-1008-4F7C-8461-843D694E859C}"/>
    <cellStyle name="20 % - Accent2 3 3" xfId="251" xr:uid="{40D436ED-65D6-4646-BD23-878906DFFA34}"/>
    <cellStyle name="20 % - Accent2 4" xfId="124" xr:uid="{AC80DE48-713F-4256-AAA2-5E0D743AA330}"/>
    <cellStyle name="20 % - Accent2 4 2" xfId="270" xr:uid="{59CD746F-0B01-4951-ACAE-36D3712EBFE9}"/>
    <cellStyle name="20 % - Accent2 5" xfId="208" xr:uid="{882D5E40-12D4-41F9-AA90-D26F0EBFCCEF}"/>
    <cellStyle name="20 % - Accent3" xfId="23" builtinId="38" customBuiltin="1"/>
    <cellStyle name="20 % - Accent3 2" xfId="77" xr:uid="{0436035E-123E-49C8-9D20-21530432AF99}"/>
    <cellStyle name="20 % - Accent3 2 2" xfId="152" xr:uid="{E700B49D-5215-4CCF-9966-10E826121CBD}"/>
    <cellStyle name="20 % - Accent3 2 2 2" xfId="296" xr:uid="{64D500F3-358C-433C-96F6-0FA37AC3627A}"/>
    <cellStyle name="20 % - Accent3 2 3" xfId="225" xr:uid="{F5174DF0-9A75-49CA-9021-10D933B4798A}"/>
    <cellStyle name="20 % - Accent3 3" xfId="106" xr:uid="{C7EED638-7CBB-4061-8C9B-23132497B8CF}"/>
    <cellStyle name="20 % - Accent3 3 2" xfId="177" xr:uid="{A733F5B4-9DE8-4A12-94C7-D2C80EF1C815}"/>
    <cellStyle name="20 % - Accent3 3 2 2" xfId="321" xr:uid="{C7F8AC51-F783-41BF-88B0-92AF869CA85E}"/>
    <cellStyle name="20 % - Accent3 3 3" xfId="252" xr:uid="{F2755004-3488-4F0F-977A-5008C10219C6}"/>
    <cellStyle name="20 % - Accent3 4" xfId="126" xr:uid="{4CA603D8-AB13-40D7-8616-2DC1450FD069}"/>
    <cellStyle name="20 % - Accent3 4 2" xfId="272" xr:uid="{488E41E9-AEC0-4853-89AC-4AFB6B345F13}"/>
    <cellStyle name="20 % - Accent3 5" xfId="210" xr:uid="{9276C66E-C45B-4BE4-A1BF-DA20810FCF55}"/>
    <cellStyle name="20 % - Accent4" xfId="26" builtinId="42" customBuiltin="1"/>
    <cellStyle name="20 % - Accent4 2" xfId="78" xr:uid="{93A8C2D5-004D-4D7E-BDA2-C351DE1FFBCA}"/>
    <cellStyle name="20 % - Accent4 2 2" xfId="153" xr:uid="{DB8AF466-0AC6-497D-BBF6-3AEC9F686C26}"/>
    <cellStyle name="20 % - Accent4 2 2 2" xfId="297" xr:uid="{C82D6F1E-8A08-42DF-8623-611997BEE29A}"/>
    <cellStyle name="20 % - Accent4 2 3" xfId="226" xr:uid="{3CB99261-EAC2-4A2F-8D8D-067511845639}"/>
    <cellStyle name="20 % - Accent4 3" xfId="107" xr:uid="{8A5854DA-608D-4D4A-8E1C-3CEEFB2564E1}"/>
    <cellStyle name="20 % - Accent4 3 2" xfId="178" xr:uid="{6621E84B-95DE-47A7-BF0F-8DBC65D388B6}"/>
    <cellStyle name="20 % - Accent4 3 2 2" xfId="322" xr:uid="{5412A733-08DB-4C23-8C47-EF2998112B2F}"/>
    <cellStyle name="20 % - Accent4 3 3" xfId="253" xr:uid="{46A3685B-F81D-469B-B10B-3B8DC87481F5}"/>
    <cellStyle name="20 % - Accent4 4" xfId="128" xr:uid="{AB9333D9-F22E-4A45-8060-76F0DAB3F9B1}"/>
    <cellStyle name="20 % - Accent4 4 2" xfId="274" xr:uid="{A9F4D0D4-9C1B-478C-8C7E-2C73A914471B}"/>
    <cellStyle name="20 % - Accent4 5" xfId="212" xr:uid="{7A2E019A-7474-40D4-A46A-6783E267B08A}"/>
    <cellStyle name="20 % - Accent5" xfId="29" builtinId="46" customBuiltin="1"/>
    <cellStyle name="20 % - Accent5 2" xfId="79" xr:uid="{C73FA54A-9E55-4FF3-8B32-E9A97F99D553}"/>
    <cellStyle name="20 % - Accent5 2 2" xfId="154" xr:uid="{4EF760A5-4CC2-4387-B8DC-5A49A659933F}"/>
    <cellStyle name="20 % - Accent5 2 2 2" xfId="298" xr:uid="{D47E560E-E1E1-4FB0-BA3F-49D6C9658E6A}"/>
    <cellStyle name="20 % - Accent5 2 3" xfId="227" xr:uid="{0CE49CA9-3D38-4FB2-82C1-5523291711C9}"/>
    <cellStyle name="20 % - Accent5 3" xfId="108" xr:uid="{496A68CC-F298-4A5F-BF32-B59FB8B1C9B7}"/>
    <cellStyle name="20 % - Accent5 3 2" xfId="179" xr:uid="{E38F2286-33F5-4C57-B65A-D63F90AC77F4}"/>
    <cellStyle name="20 % - Accent5 3 2 2" xfId="323" xr:uid="{C0E3C027-6A51-40FB-9572-FA7CD74F8890}"/>
    <cellStyle name="20 % - Accent5 3 3" xfId="254" xr:uid="{6C1AD782-9CE6-4E6C-B810-0B69D7E3F2D3}"/>
    <cellStyle name="20 % - Accent5 4" xfId="130" xr:uid="{9B4CCA53-5111-4F30-A4BD-B9F1F4A51488}"/>
    <cellStyle name="20 % - Accent5 4 2" xfId="276" xr:uid="{7D849237-F9E1-4B65-A561-161A58128011}"/>
    <cellStyle name="20 % - Accent5 5" xfId="214" xr:uid="{A05AFEA7-7799-494E-8B43-7261F6EA031F}"/>
    <cellStyle name="20 % - Accent6" xfId="32" builtinId="50" customBuiltin="1"/>
    <cellStyle name="20 % - Accent6 2" xfId="80" xr:uid="{CB809497-BCE4-4A56-A5D1-ECF4007D93EE}"/>
    <cellStyle name="20 % - Accent6 2 2" xfId="155" xr:uid="{CB60B030-42A5-4AF5-93CC-62F02A02AED8}"/>
    <cellStyle name="20 % - Accent6 2 2 2" xfId="299" xr:uid="{BD742B3C-F40C-482A-8F6A-D830A291A034}"/>
    <cellStyle name="20 % - Accent6 2 3" xfId="228" xr:uid="{7AEDD0BF-0DE8-4325-B4E6-B0B6F0947173}"/>
    <cellStyle name="20 % - Accent6 3" xfId="109" xr:uid="{B5090F49-4962-4AB8-9F42-3A9D24E5DA9A}"/>
    <cellStyle name="20 % - Accent6 3 2" xfId="180" xr:uid="{8148EFE6-BD5C-4DEB-8287-9C5E39C6A13B}"/>
    <cellStyle name="20 % - Accent6 3 2 2" xfId="324" xr:uid="{5397A378-7CB5-4898-9B20-D124322AA75B}"/>
    <cellStyle name="20 % - Accent6 3 3" xfId="255" xr:uid="{75BFAB83-EC45-4F94-812E-F6767D31F672}"/>
    <cellStyle name="20 % - Accent6 4" xfId="132" xr:uid="{CC3832CD-47D8-4D81-89D1-5DFACEB82A0F}"/>
    <cellStyle name="20 % - Accent6 4 2" xfId="278" xr:uid="{9FBEAA0A-211C-470D-AB49-CD59F5F53394}"/>
    <cellStyle name="20 % - Accent6 5" xfId="216" xr:uid="{A5184D3F-DCC9-41C7-AFFA-3FC571E32AC1}"/>
    <cellStyle name="40 % - Accent1" xfId="18" builtinId="31" customBuiltin="1"/>
    <cellStyle name="40 % - Accent1 2" xfId="81" xr:uid="{04185D38-C308-4391-8DF7-EC7AB3AB7700}"/>
    <cellStyle name="40 % - Accent1 2 2" xfId="156" xr:uid="{FF4CCEA0-BBF6-4BDD-A7F5-BA30E0C432F9}"/>
    <cellStyle name="40 % - Accent1 2 2 2" xfId="300" xr:uid="{35E60A88-575F-4E5E-805B-548F796B798A}"/>
    <cellStyle name="40 % - Accent1 2 3" xfId="229" xr:uid="{8E83BF6E-7E1A-433A-BD65-4EB796FA84DC}"/>
    <cellStyle name="40 % - Accent1 3" xfId="110" xr:uid="{6AC31E61-FE40-4521-9C6D-85E374C5F321}"/>
    <cellStyle name="40 % - Accent1 3 2" xfId="181" xr:uid="{482B3849-D6C1-4254-945F-DEDE21C5EEB9}"/>
    <cellStyle name="40 % - Accent1 3 2 2" xfId="325" xr:uid="{13103125-6C6F-4D95-ADA8-2E412CDA779C}"/>
    <cellStyle name="40 % - Accent1 3 3" xfId="256" xr:uid="{EFE3F5F2-D0BB-4422-A20E-26B51180C095}"/>
    <cellStyle name="40 % - Accent1 4" xfId="123" xr:uid="{6A4DAA1F-8DE6-4864-ABD2-BA84D3FF69C1}"/>
    <cellStyle name="40 % - Accent1 4 2" xfId="269" xr:uid="{0FD18507-7B55-4D67-8891-55CBD6E8DD3B}"/>
    <cellStyle name="40 % - Accent1 5" xfId="207" xr:uid="{EA8434B6-C02C-419F-ACC0-62A2E1991EE9}"/>
    <cellStyle name="40 % - Accent2" xfId="21" builtinId="35" customBuiltin="1"/>
    <cellStyle name="40 % - Accent2 2" xfId="82" xr:uid="{EE88F4D2-1A50-42C0-A4E0-E10E7D3E725A}"/>
    <cellStyle name="40 % - Accent2 2 2" xfId="157" xr:uid="{CAC6AFE3-4905-4215-B6DA-8105DB9959EE}"/>
    <cellStyle name="40 % - Accent2 2 2 2" xfId="301" xr:uid="{1A7D2138-EACE-4759-A253-B8B985C7F4E7}"/>
    <cellStyle name="40 % - Accent2 2 3" xfId="230" xr:uid="{05980027-F392-4130-8169-8830B13FEBD2}"/>
    <cellStyle name="40 % - Accent2 3" xfId="111" xr:uid="{9CB18759-2B1D-4DF0-8F7F-C2F6D3D5DAB4}"/>
    <cellStyle name="40 % - Accent2 3 2" xfId="182" xr:uid="{D16D2DC2-87A0-41FE-9EC7-C83EE5FD559C}"/>
    <cellStyle name="40 % - Accent2 3 2 2" xfId="326" xr:uid="{8B29F144-ADEB-4577-8F33-57151417A4D3}"/>
    <cellStyle name="40 % - Accent2 3 3" xfId="257" xr:uid="{647DE91F-74B6-4DC0-8279-1988CEA5173F}"/>
    <cellStyle name="40 % - Accent2 4" xfId="125" xr:uid="{F33367DF-79D1-4EB6-8504-D105424488C1}"/>
    <cellStyle name="40 % - Accent2 4 2" xfId="271" xr:uid="{928310C6-7AEE-46A3-A6F7-3D1667FD50F7}"/>
    <cellStyle name="40 % - Accent2 5" xfId="209" xr:uid="{4B8BE196-873D-4257-8181-C0DC0D1AB110}"/>
    <cellStyle name="40 % - Accent3" xfId="24" builtinId="39" customBuiltin="1"/>
    <cellStyle name="40 % - Accent3 2" xfId="83" xr:uid="{047C4C28-A492-44F3-812D-673E8C2E6325}"/>
    <cellStyle name="40 % - Accent3 2 2" xfId="158" xr:uid="{63507319-E9D0-4B8B-A384-9043B765069D}"/>
    <cellStyle name="40 % - Accent3 2 2 2" xfId="302" xr:uid="{1023C5C7-248E-4200-858C-A80CDBD79E5E}"/>
    <cellStyle name="40 % - Accent3 2 3" xfId="231" xr:uid="{8DDFD00D-AFD7-4110-BD28-142F3C53DF95}"/>
    <cellStyle name="40 % - Accent3 3" xfId="112" xr:uid="{F3439046-513C-4215-B64D-DA0F723FEEE8}"/>
    <cellStyle name="40 % - Accent3 3 2" xfId="183" xr:uid="{BBCAD317-0C94-4DD6-8C3B-3341D17DB7D9}"/>
    <cellStyle name="40 % - Accent3 3 2 2" xfId="327" xr:uid="{5F9D837F-50A5-4165-950F-6495D627C543}"/>
    <cellStyle name="40 % - Accent3 3 3" xfId="258" xr:uid="{89B0C05C-1368-4CAF-A38A-83C2B3B82B2E}"/>
    <cellStyle name="40 % - Accent3 4" xfId="127" xr:uid="{58F3B69D-E62C-43A5-ADF3-EF59FFF121F4}"/>
    <cellStyle name="40 % - Accent3 4 2" xfId="273" xr:uid="{F9541BA5-9016-4092-B8A2-220391DBFF05}"/>
    <cellStyle name="40 % - Accent3 5" xfId="211" xr:uid="{B0BBC867-C219-405A-95E7-22B5B5107585}"/>
    <cellStyle name="40 % - Accent4" xfId="27" builtinId="43" customBuiltin="1"/>
    <cellStyle name="40 % - Accent4 2" xfId="84" xr:uid="{89B3DB6D-9B54-4928-9B23-32A3847335D5}"/>
    <cellStyle name="40 % - Accent4 2 2" xfId="159" xr:uid="{BBC37B6B-529F-421E-B168-515A8AA0AB06}"/>
    <cellStyle name="40 % - Accent4 2 2 2" xfId="303" xr:uid="{003CA2FF-342A-4C88-A262-B7CA3210628C}"/>
    <cellStyle name="40 % - Accent4 2 3" xfId="232" xr:uid="{4F2E9EAC-BD5A-435C-8B0E-C525D717B94F}"/>
    <cellStyle name="40 % - Accent4 3" xfId="113" xr:uid="{2AFCA481-5F35-4187-94A6-425132432652}"/>
    <cellStyle name="40 % - Accent4 3 2" xfId="184" xr:uid="{1D3C26FB-5455-4B74-867F-28FE5F2304C7}"/>
    <cellStyle name="40 % - Accent4 3 2 2" xfId="328" xr:uid="{56FE81EC-678F-4AE2-B7F6-88C1390BB040}"/>
    <cellStyle name="40 % - Accent4 3 3" xfId="259" xr:uid="{114798BC-0FE3-4F13-A47C-ECCDDD8A355E}"/>
    <cellStyle name="40 % - Accent4 4" xfId="129" xr:uid="{92234850-542F-4CF9-ACCC-1699EE8B634E}"/>
    <cellStyle name="40 % - Accent4 4 2" xfId="275" xr:uid="{4110B28D-E18A-4472-A88E-47745741BF40}"/>
    <cellStyle name="40 % - Accent4 5" xfId="213" xr:uid="{AC2E4462-95A2-4440-B0D1-CE5724837253}"/>
    <cellStyle name="40 % - Accent5" xfId="30" builtinId="47" customBuiltin="1"/>
    <cellStyle name="40 % - Accent5 2" xfId="85" xr:uid="{D735C97D-0E80-472E-BA40-5866DB9D69C6}"/>
    <cellStyle name="40 % - Accent5 2 2" xfId="160" xr:uid="{50F594EF-E373-4203-964E-E684613B53F1}"/>
    <cellStyle name="40 % - Accent5 2 2 2" xfId="304" xr:uid="{E45C8E4A-22D7-4910-A4A7-05A0C268B932}"/>
    <cellStyle name="40 % - Accent5 2 3" xfId="233" xr:uid="{E7C8DA44-8556-4D2E-B69F-BBC22E5E35C0}"/>
    <cellStyle name="40 % - Accent5 3" xfId="114" xr:uid="{1EFF2495-8739-4B4A-9CBE-3D7674A15554}"/>
    <cellStyle name="40 % - Accent5 3 2" xfId="185" xr:uid="{E5BD12FB-2D46-46F4-B73A-F4CFAB8C9846}"/>
    <cellStyle name="40 % - Accent5 3 2 2" xfId="329" xr:uid="{6AFC14FA-9A8D-4FB5-813A-951D781ADB71}"/>
    <cellStyle name="40 % - Accent5 3 3" xfId="260" xr:uid="{36A14D49-8DF1-41F9-9C4D-8598039A566B}"/>
    <cellStyle name="40 % - Accent5 4" xfId="131" xr:uid="{336BCCDC-34C3-4CEF-A2EC-3E72A86ED6D1}"/>
    <cellStyle name="40 % - Accent5 4 2" xfId="277" xr:uid="{7FFD77FD-47F1-4D0A-A8A4-ED047517DA31}"/>
    <cellStyle name="40 % - Accent5 5" xfId="215" xr:uid="{B89B475F-7B4C-4525-A855-BDBD83B4E7CE}"/>
    <cellStyle name="40 % - Accent6" xfId="33" builtinId="51" customBuiltin="1"/>
    <cellStyle name="40 % - Accent6 2" xfId="86" xr:uid="{950A5CD3-4F5C-4B1D-B46E-E47AC550E553}"/>
    <cellStyle name="40 % - Accent6 2 2" xfId="161" xr:uid="{80777263-515A-4CF7-8F9B-4E2B9CDC03D7}"/>
    <cellStyle name="40 % - Accent6 2 2 2" xfId="305" xr:uid="{109A1A8F-6883-4F64-8A3C-901729631F92}"/>
    <cellStyle name="40 % - Accent6 2 3" xfId="234" xr:uid="{328EC320-E012-4E69-B61F-D497D71E958F}"/>
    <cellStyle name="40 % - Accent6 3" xfId="115" xr:uid="{8A8C323D-1B11-47E1-984A-78CE3772899F}"/>
    <cellStyle name="40 % - Accent6 3 2" xfId="186" xr:uid="{5BED0B94-FAA2-4DF0-9B88-8EDC847BBB43}"/>
    <cellStyle name="40 % - Accent6 3 2 2" xfId="330" xr:uid="{41A9A630-7184-4F2D-88BF-DBC96779C6CD}"/>
    <cellStyle name="40 % - Accent6 3 3" xfId="261" xr:uid="{B6A027CD-6A33-4513-AF27-A6AAE1F8A133}"/>
    <cellStyle name="40 % - Accent6 4" xfId="133" xr:uid="{0189F2E1-843C-4257-9C4C-0D57D52571E1}"/>
    <cellStyle name="40 % - Accent6 4 2" xfId="279" xr:uid="{53BCBAE1-B67C-4FC8-BBFB-D1F8C964B2E8}"/>
    <cellStyle name="40 % - Accent6 5" xfId="217" xr:uid="{07E118F2-1F53-45D5-B41E-ED124088193C}"/>
    <cellStyle name="60 % - Accent1 2" xfId="64" xr:uid="{2B95CA6E-1FCB-4CA5-964B-27358601337C}"/>
    <cellStyle name="60 % - Accent2 2" xfId="65" xr:uid="{7A7CA82E-CC76-44F5-A379-BEA8AA7F8C7A}"/>
    <cellStyle name="60 % - Accent3 2" xfId="66" xr:uid="{09DE2A70-3EAC-4B0B-86DD-D1D6FB4E3DC2}"/>
    <cellStyle name="60 % - Accent4 2" xfId="67" xr:uid="{BA60F67B-DC31-476F-9A51-C0B745AB52BB}"/>
    <cellStyle name="60 % - Accent5 2" xfId="68" xr:uid="{437D9230-6699-4E5F-8509-103B20202D21}"/>
    <cellStyle name="60 % - Accent6 2" xfId="69" xr:uid="{8665A9C0-B58F-453D-8879-5EEE197B0228}"/>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Avertissement" xfId="13" builtinId="11" customBuiltin="1"/>
    <cellStyle name="Calcul" xfId="10" builtinId="22" customBuiltin="1"/>
    <cellStyle name="Cellule liée" xfId="11" builtinId="24" customBuiltin="1"/>
    <cellStyle name="Commentaire 2" xfId="71" xr:uid="{B58AE069-CBDE-4619-A9F8-CB9DA67FB7E1}"/>
    <cellStyle name="Commentaire 2 2" xfId="146" xr:uid="{4B238816-DF7D-42D4-8ADF-5399A0A90D5A}"/>
    <cellStyle name="Commentaire 2 2 2" xfId="290" xr:uid="{6E81C4C3-9057-4BD2-B3AA-076BAA27DC8A}"/>
    <cellStyle name="Commentaire 2 3" xfId="219" xr:uid="{2E636B9E-3C6C-4A42-B110-23CF3A8D1872}"/>
    <cellStyle name="Commentaire 3" xfId="87" xr:uid="{ADFA02DF-215B-4C1C-AB25-1F280A09E986}"/>
    <cellStyle name="Commentaire 3 2" xfId="162" xr:uid="{125F4D27-2E66-48C7-A3F2-5A69FF1D1EB6}"/>
    <cellStyle name="Commentaire 3 2 2" xfId="306" xr:uid="{087E58CC-78D1-4C3A-BC67-C81119BC85B6}"/>
    <cellStyle name="Commentaire 3 3" xfId="235" xr:uid="{8F8FEE2D-AFE7-466F-B49F-8F7A32D5FA33}"/>
    <cellStyle name="Commentaire 4" xfId="116" xr:uid="{8A8254AE-5538-4684-B842-D4582F54F937}"/>
    <cellStyle name="Commentaire 4 2" xfId="187" xr:uid="{F90F4823-ABEC-41E7-886D-3A4498E0F808}"/>
    <cellStyle name="Commentaire 4 2 2" xfId="331" xr:uid="{30880F60-4F42-48D7-9C20-B59A83424DF3}"/>
    <cellStyle name="Commentaire 4 3" xfId="262" xr:uid="{96837E18-ECEC-437B-9F0A-05E4DE4BA91D}"/>
    <cellStyle name="Entrée" xfId="8" builtinId="20" customBuiltin="1"/>
    <cellStyle name="Euro" xfId="96" xr:uid="{D74A091E-772E-4093-9730-EAEFE66D543D}"/>
    <cellStyle name="Euro 2" xfId="244" xr:uid="{4C972DDB-55CB-461B-B43B-127FF08B3032}"/>
    <cellStyle name="Insatisfaisant" xfId="7" builtinId="27" customBuiltin="1"/>
    <cellStyle name="Lien hypertexte 2" xfId="100" xr:uid="{2556F69C-FF85-4B6E-B9C8-57F2AD30EB13}"/>
    <cellStyle name="Lien hypertexte 3" xfId="101" xr:uid="{FD3826A4-8F28-4C74-BD8A-36CAE0D27686}"/>
    <cellStyle name="Milliers 2" xfId="95" xr:uid="{E80EA818-152F-408C-88F6-5920864DD438}"/>
    <cellStyle name="Milliers 2 2" xfId="170" xr:uid="{B1C7CDD9-7CCA-4B0C-9091-F6F979074104}"/>
    <cellStyle name="Milliers 2 2 2" xfId="314" xr:uid="{351A0D0F-F092-4332-AE15-4C60769680D4}"/>
    <cellStyle name="Milliers 2 3" xfId="243" xr:uid="{27BB3462-DD16-44BC-9466-5E40B9ADEF34}"/>
    <cellStyle name="Milliers 3" xfId="97" xr:uid="{7B0BC67C-2CF3-4056-9C16-CFFEE2C2C628}"/>
    <cellStyle name="Milliers 3 2" xfId="245" xr:uid="{99C00924-7D7A-44C4-B872-7E09F2E36884}"/>
    <cellStyle name="Milliers 4" xfId="91" xr:uid="{D75231A7-5138-40F8-8EF9-06A4F09CC749}"/>
    <cellStyle name="Milliers 4 2" xfId="166" xr:uid="{8069267E-E846-4CC3-9E1B-C8C8E9A86C3D}"/>
    <cellStyle name="Milliers 4 2 2" xfId="310" xr:uid="{253F2A35-7066-4B9C-B39D-F1AFE6F430DE}"/>
    <cellStyle name="Milliers 4 3" xfId="239" xr:uid="{776DD8E6-BD3A-4320-8082-29F3B1AB6B06}"/>
    <cellStyle name="Milliers 5" xfId="190" xr:uid="{FCB4BA8D-33B8-4775-BB18-6AA352857526}"/>
    <cellStyle name="Milliers 5 2" xfId="334" xr:uid="{2C045A41-2C44-47F2-A858-5E26B222BA15}"/>
    <cellStyle name="Milliers 6" xfId="121" xr:uid="{6A7287CB-7C35-4699-A119-654149612B84}"/>
    <cellStyle name="Milliers 6 2" xfId="267" xr:uid="{0BEDBA4A-E839-4F91-8280-F8E45DAF8A20}"/>
    <cellStyle name="Milliers 7" xfId="265" xr:uid="{C8ED00D6-2113-4A07-AB07-58CE8CB27F0E}"/>
    <cellStyle name="Milliers 8" xfId="119" xr:uid="{2FE82540-9271-423B-B403-68F8F300EAF6}"/>
    <cellStyle name="Monétaire" xfId="1" builtinId="4"/>
    <cellStyle name="Monétaire 2" xfId="94" xr:uid="{3D482C4B-4ED8-49CA-B11E-BD0CA6B38153}"/>
    <cellStyle name="Monétaire 2 2" xfId="169" xr:uid="{B96CC786-43FA-42AE-BDDF-E7B6893D3F05}"/>
    <cellStyle name="Monétaire 2 2 2" xfId="313" xr:uid="{DB74C99C-D247-44D3-B1A1-CE5B7ABFEE89}"/>
    <cellStyle name="Monétaire 2 3" xfId="242" xr:uid="{933A8F92-FDC5-4838-8998-FA94D1CB154F}"/>
    <cellStyle name="Monétaire 3" xfId="92" xr:uid="{A50A5573-C505-4A98-A40C-9C202353241B}"/>
    <cellStyle name="Monétaire 3 2" xfId="167" xr:uid="{209F9028-A137-4830-9EE1-75608993A199}"/>
    <cellStyle name="Monétaire 3 2 2" xfId="311" xr:uid="{F65D64E3-89EE-4B10-95FD-7B6E63BFEBE4}"/>
    <cellStyle name="Monétaire 3 3" xfId="240" xr:uid="{45D0B49B-6411-45D2-8907-23CADA3FB1E8}"/>
    <cellStyle name="Monétaire 4" xfId="335" xr:uid="{743C1AD5-6C6F-4F12-B6CD-7CAAC0F7450C}"/>
    <cellStyle name="Monétaire 5" xfId="339" xr:uid="{D0FBCA1E-68D4-4675-91BF-60E7197BEE3B}"/>
    <cellStyle name="Neutre 2" xfId="63" xr:uid="{7619AF0E-D446-46FF-9061-0C4E4FBB2E8D}"/>
    <cellStyle name="Normal" xfId="0" builtinId="0"/>
    <cellStyle name="Normal 10" xfId="70" xr:uid="{970E80A7-0B13-419F-ABD5-1DD63D062582}"/>
    <cellStyle name="Normal 10 2" xfId="102" xr:uid="{D76E6818-EA7B-4576-B041-3E1D488E1ED0}"/>
    <cellStyle name="Normal 10 2 2" xfId="173" xr:uid="{7DB1FFE2-6991-4690-8D46-D1570628FC94}"/>
    <cellStyle name="Normal 10 2 2 2" xfId="317" xr:uid="{DA1FA4DD-A4EF-4FEE-94A6-BC07568FD543}"/>
    <cellStyle name="Normal 10 2 3" xfId="248" xr:uid="{C3C21D25-DA1D-4DD5-9B98-7A7E35CCCE45}"/>
    <cellStyle name="Normal 10 3" xfId="145" xr:uid="{08E94E4D-B1EB-49D2-ACC9-221BCADF6D0D}"/>
    <cellStyle name="Normal 10 3 2" xfId="289" xr:uid="{C921DDD7-1948-411F-B76A-4F140C466FF4}"/>
    <cellStyle name="Normal 10 4" xfId="218" xr:uid="{56E5CB9D-A37C-4F31-8C8E-87D7143A102F}"/>
    <cellStyle name="Normal 11" xfId="72" xr:uid="{65828CB6-CE4A-470B-BAE7-5F8F7925629E}"/>
    <cellStyle name="Normal 11 2" xfId="147" xr:uid="{57C13D3A-DE2B-41B6-A2D8-F797F6F89F14}"/>
    <cellStyle name="Normal 11 2 2" xfId="291" xr:uid="{652D6308-715D-455E-9680-3C054BE6BB58}"/>
    <cellStyle name="Normal 11 3" xfId="220" xr:uid="{EA4A2459-D340-4D96-A289-6DE9E073D84C}"/>
    <cellStyle name="Normal 12" xfId="73" xr:uid="{B4F9D43D-138D-40EC-B8B7-B1A9702EE4B7}"/>
    <cellStyle name="Normal 12 2" xfId="148" xr:uid="{42970B14-7832-4E1E-8760-8BB2B2744371}"/>
    <cellStyle name="Normal 12 2 2" xfId="292" xr:uid="{7E3616AC-31A4-42F5-9476-776D2FA6CE83}"/>
    <cellStyle name="Normal 12 3" xfId="221" xr:uid="{9C255379-2332-4ACD-A5EC-54A5D92F9607}"/>
    <cellStyle name="Normal 13" xfId="74" xr:uid="{20EDD061-48E2-4C9F-9C1E-05ACB754DAC4}"/>
    <cellStyle name="Normal 13 2" xfId="149" xr:uid="{8524F9E4-B894-40FE-AC52-5FFF4C08B746}"/>
    <cellStyle name="Normal 13 2 2" xfId="293" xr:uid="{4019F9AD-CBF9-4841-826F-55C1C0D31A5A}"/>
    <cellStyle name="Normal 13 3" xfId="222" xr:uid="{ADAE6D80-6D48-41EB-8333-FFB89F287870}"/>
    <cellStyle name="Normal 14" xfId="88" xr:uid="{97057ABD-A289-4124-A643-73BBAB5B9E17}"/>
    <cellStyle name="Normal 14 2" xfId="163" xr:uid="{03445545-24E1-4BF4-996D-B331C00BD28F}"/>
    <cellStyle name="Normal 14 2 2" xfId="307" xr:uid="{94E2D4FE-EE4C-4D90-B6FF-D59C74AE9660}"/>
    <cellStyle name="Normal 14 3" xfId="236" xr:uid="{C1C52714-2533-42FF-BD05-8AE28519CD01}"/>
    <cellStyle name="Normal 15" xfId="35" xr:uid="{74A045D6-70E1-4BC4-B931-E23448F27645}"/>
    <cellStyle name="Normal 16" xfId="89" xr:uid="{7CC302E9-8D84-4D25-B867-899EC24B269E}"/>
    <cellStyle name="Normal 16 2" xfId="164" xr:uid="{0560E08F-3AE7-417D-ABB5-6757A8BEE8DF}"/>
    <cellStyle name="Normal 16 2 2" xfId="308" xr:uid="{40E6C872-C6CE-46EE-98CA-0F1C2A460FD2}"/>
    <cellStyle name="Normal 16 3" xfId="237" xr:uid="{3E8ABFC0-E5A7-473B-AEA8-3C9A6C0CD424}"/>
    <cellStyle name="Normal 17" xfId="90" xr:uid="{987E7433-0365-458B-8725-EB86CBDAA5C6}"/>
    <cellStyle name="Normal 17 2" xfId="165" xr:uid="{2F98F60D-9825-424A-85CD-14D2C5A227F3}"/>
    <cellStyle name="Normal 17 2 2" xfId="309" xr:uid="{37F79E2C-ADF7-4625-9A95-234360302C73}"/>
    <cellStyle name="Normal 17 3" xfId="238" xr:uid="{370E6550-E498-4A89-BE53-7B1184D54179}"/>
    <cellStyle name="Normal 18" xfId="103" xr:uid="{07E996A9-AAA6-4E65-A577-DFA62C42E87F}"/>
    <cellStyle name="Normal 18 2" xfId="174" xr:uid="{70224F79-19E4-4ED5-B5F2-5FBDA81BD3C8}"/>
    <cellStyle name="Normal 18 2 2" xfId="318" xr:uid="{91D329D3-B593-41F0-A395-89DB00DD7B0C}"/>
    <cellStyle name="Normal 18 3" xfId="249" xr:uid="{29528DAB-2690-4593-B11E-B955AA0C2A1E}"/>
    <cellStyle name="Normal 19" xfId="117" xr:uid="{91A38134-40BF-45D4-9E25-075585AA7681}"/>
    <cellStyle name="Normal 19 2" xfId="188" xr:uid="{7189D298-F2CC-4D1F-8B37-717A6132D6BE}"/>
    <cellStyle name="Normal 19 2 2" xfId="332" xr:uid="{593ADB03-B57B-4EBF-8B61-AE0593C00738}"/>
    <cellStyle name="Normal 19 3" xfId="263" xr:uid="{B3BCC246-7448-4588-9E2C-8FB10CF4A2B5}"/>
    <cellStyle name="Normal 2" xfId="36" xr:uid="{A559846F-90E3-4DC4-9C27-E4540D5A14B1}"/>
    <cellStyle name="Normal 2 2" xfId="49" xr:uid="{CF8F3EF7-3B0F-436E-A347-5552B15449B7}"/>
    <cellStyle name="Normal 2 2 2" xfId="93" xr:uid="{9DC621B9-6C34-40D1-A137-C6BC6A869A66}"/>
    <cellStyle name="Normal 2 2 2 2" xfId="168" xr:uid="{6CD28CB7-9BFC-426A-B5E5-EE40086029F9}"/>
    <cellStyle name="Normal 2 2 2 2 2" xfId="312" xr:uid="{A373BBA2-0D94-4CC7-B7BB-01D07F1DEA20}"/>
    <cellStyle name="Normal 2 2 2 3" xfId="241" xr:uid="{B08A6C73-798A-49CD-8743-33971EED6D24}"/>
    <cellStyle name="Normal 2 3" xfId="59" xr:uid="{7A8CEDA2-E78F-499A-88F7-1B7972F0D84D}"/>
    <cellStyle name="Normal 20" xfId="118" xr:uid="{269DCCFA-EF9F-4921-88BF-60D12C63BDBB}"/>
    <cellStyle name="Normal 20 2" xfId="189" xr:uid="{7AA7B3C3-F143-400E-B21B-9B4220AA21E0}"/>
    <cellStyle name="Normal 20 2 2" xfId="333" xr:uid="{BB123066-C5DE-4821-99BE-C48FF6E1A181}"/>
    <cellStyle name="Normal 20 3" xfId="264" xr:uid="{FF0F1701-37FE-405C-8B64-3D6E3262D748}"/>
    <cellStyle name="Normal 21" xfId="134" xr:uid="{4479F45D-2ABB-4868-B3D3-6519F714A33B}"/>
    <cellStyle name="Normal 21 2" xfId="280" xr:uid="{6D8B1C4F-155F-47F1-B0E9-9D35D9A5AFC5}"/>
    <cellStyle name="Normal 22" xfId="120" xr:uid="{50CC6C5E-A193-4AFE-B2DC-528901764C37}"/>
    <cellStyle name="Normal 22 2" xfId="266" xr:uid="{AC39507E-0881-483D-ABF4-4C05B37EF652}"/>
    <cellStyle name="Normal 23" xfId="341" xr:uid="{DA2FED7A-2904-4C8E-BAD2-E420E5100CDB}"/>
    <cellStyle name="Normal 24" xfId="34" xr:uid="{DE709257-3B72-4CA4-8EDB-D47F0B074106}"/>
    <cellStyle name="Normal 26 2" xfId="343" xr:uid="{0789BB38-CADE-4045-ABFD-D13248697147}"/>
    <cellStyle name="Normal 26 3 2 2" xfId="342" xr:uid="{0DFB6F8A-7558-43F1-9186-6CEDF3DD50B2}"/>
    <cellStyle name="Normal 3" xfId="54" xr:uid="{7CF66514-90EE-441E-8A7E-013ABBAF01F2}"/>
    <cellStyle name="Normal 3 2" xfId="98" xr:uid="{CDA67F14-7A8E-4430-98F8-993A7D78A351}"/>
    <cellStyle name="Normal 3 2 2" xfId="171" xr:uid="{CE32FF6C-717A-45FF-B1F2-56521A01447F}"/>
    <cellStyle name="Normal 3 2 2 2" xfId="315" xr:uid="{84C7558B-8F90-4F37-AC9B-DCFB458D86B8}"/>
    <cellStyle name="Normal 3 2 3" xfId="246" xr:uid="{39C6A79A-F3F7-4C12-A2AE-158491F6A4BF}"/>
    <cellStyle name="Normal 3 3" xfId="139" xr:uid="{60B00855-1F5D-4467-9E3B-85F513B20C01}"/>
    <cellStyle name="Normal 3 3 2" xfId="283" xr:uid="{1BA7BCC4-A525-4B2C-8040-8DF4B3EA1E46}"/>
    <cellStyle name="Normal 3 4" xfId="198" xr:uid="{F7C7E91C-9F7C-42C4-B995-77A3A2D552D3}"/>
    <cellStyle name="Normal 4" xfId="55" xr:uid="{864C016B-8874-4AD5-91ED-DECF1D617CD5}"/>
    <cellStyle name="Normal 4 2" xfId="140" xr:uid="{AC577199-1042-4E2C-837F-70662871DB55}"/>
    <cellStyle name="Normal 4 2 2" xfId="284" xr:uid="{54834D3C-6B62-4DC5-803E-051297EF8F69}"/>
    <cellStyle name="Normal 4 3" xfId="199" xr:uid="{C2B16274-BFA0-4E48-8E49-93ED94210FCF}"/>
    <cellStyle name="Normal 5" xfId="56" xr:uid="{AE4B03C1-EE69-4D0B-992F-024203DA5D74}"/>
    <cellStyle name="Normal 6" xfId="53" xr:uid="{19A8C2EB-0B95-4EC0-A974-AA5F96B046CD}"/>
    <cellStyle name="Normal 6 2" xfId="138" xr:uid="{841C8EFD-1573-448F-8B45-2A7683366699}"/>
    <cellStyle name="Normal 7" xfId="52" xr:uid="{1214EF97-8517-4260-804F-0EC02E3C8B23}"/>
    <cellStyle name="Normal 7 2" xfId="137" xr:uid="{6E546AFD-47CA-429B-8954-9B0849F01BE1}"/>
    <cellStyle name="Normal 7 2 2" xfId="282" xr:uid="{095D1363-0B57-42A8-965E-C547AD475AE6}"/>
    <cellStyle name="Normal 7 3" xfId="197" xr:uid="{D8E4B5C7-DBCF-4ADD-9729-B98BFB7285D7}"/>
    <cellStyle name="Normal 8" xfId="58" xr:uid="{BA1E0CC2-CA37-4101-90DC-2E58562C0BAA}"/>
    <cellStyle name="Normal 8 2" xfId="142" xr:uid="{6F0A08EE-A770-45B9-A7F7-73A2B02273C2}"/>
    <cellStyle name="Normal 8 2 2" xfId="286" xr:uid="{3E76F74A-99AE-4E1E-B1A0-CCCEE536124B}"/>
    <cellStyle name="Normal 8 3" xfId="202" xr:uid="{707815F7-D358-4337-9574-26AAC40B4086}"/>
    <cellStyle name="Normal 9" xfId="60" xr:uid="{137E344D-0501-4DAA-8D17-36BA9A3C2E65}"/>
    <cellStyle name="Normal 9 2" xfId="143" xr:uid="{0D277C21-4E7D-410C-8E1F-5C9B01C013A1}"/>
    <cellStyle name="Normal 9 2 2" xfId="287" xr:uid="{ADE08EC9-C84F-464D-8D55-B10621A81749}"/>
    <cellStyle name="Normal 9 3" xfId="203" xr:uid="{CCF91B58-2C79-4310-885C-75F272D73BD7}"/>
    <cellStyle name="Pourcentage 2" xfId="51" xr:uid="{786C7DD1-420C-4D53-AFFB-BEF51BF34F02}"/>
    <cellStyle name="Pourcentage 3" xfId="99" xr:uid="{1BE10989-CB60-4526-BFCE-BD7F13D55265}"/>
    <cellStyle name="Pourcentage 3 2" xfId="172" xr:uid="{B52481B0-670C-4CDF-929D-DEF3884FD22C}"/>
    <cellStyle name="Pourcentage 3 2 2" xfId="316" xr:uid="{FEDACB02-CC17-4065-9618-13077A9992AA}"/>
    <cellStyle name="Pourcentage 3 3" xfId="247" xr:uid="{CED15E15-4825-4412-8E05-99A57892A883}"/>
    <cellStyle name="Pourcentage 4" xfId="135" xr:uid="{462342CA-D557-489E-AE0C-63D65A43C80E}"/>
    <cellStyle name="Pourcentage 5" xfId="340" xr:uid="{11FA5D06-2062-4FFE-B046-3BBD1EE932E1}"/>
    <cellStyle name="Satisfaisant" xfId="6" builtinId="26" customBuiltin="1"/>
    <cellStyle name="Sortie" xfId="9" builtinId="21" customBuiltin="1"/>
    <cellStyle name="Style 21" xfId="37" xr:uid="{8B90D1A6-9F63-4334-8148-2AEE5E3397C8}"/>
    <cellStyle name="Style 22" xfId="38" xr:uid="{28176734-3295-4F57-A8CC-1FC2284F9CBE}"/>
    <cellStyle name="Style 23" xfId="39" xr:uid="{F4D4197B-9DDF-46C0-B82B-52ACE01923A8}"/>
    <cellStyle name="Style 24" xfId="40" xr:uid="{DF57DF69-7098-4D22-A58E-731368A67CF9}"/>
    <cellStyle name="Style 25" xfId="41" xr:uid="{B7E9B044-3232-4452-887E-432729D6C26D}"/>
    <cellStyle name="Style 26" xfId="42" xr:uid="{02458BB4-2F4B-4E88-B424-3A43D8342BF5}"/>
    <cellStyle name="Style 26 2" xfId="193" xr:uid="{AC01C589-145E-4D5E-A24B-44F3C1AEAE73}"/>
    <cellStyle name="Style 27" xfId="43" xr:uid="{8D4346E6-CD4A-42A4-A22E-7D5A227B0846}"/>
    <cellStyle name="Style 28" xfId="44" xr:uid="{A56DF8DC-916E-4237-B549-6F5F8C177A24}"/>
    <cellStyle name="Style 29" xfId="45" xr:uid="{8465A295-7AB6-40E8-A886-09EFD73714C5}"/>
    <cellStyle name="Style 29 2" xfId="50" xr:uid="{D3E0189E-3889-4661-87A3-EF7FD9AD8DFD}"/>
    <cellStyle name="Style 29 2 2" xfId="136" xr:uid="{663852E5-C02A-43BF-A3D4-CE26C258B2DB}"/>
    <cellStyle name="Style 29 2 2 2" xfId="281" xr:uid="{7CA5F588-6106-4370-AD0F-2F1FDF1335E6}"/>
    <cellStyle name="Style 29 2 2 3" xfId="336" xr:uid="{E0957745-5003-4DA8-B3C4-B473B85331D2}"/>
    <cellStyle name="Style 29 2 3" xfId="196" xr:uid="{43DF1043-54FB-47F0-B55F-69701995ECDC}"/>
    <cellStyle name="Style 29 2 4" xfId="205" xr:uid="{864D2A7D-A9F9-44BB-8403-947598947034}"/>
    <cellStyle name="Style 29 3" xfId="48" xr:uid="{571E7789-68F6-4592-BDA5-911D030A9BCD}"/>
    <cellStyle name="Style 29 3 2" xfId="195" xr:uid="{1845DC4B-DFF3-4C68-9C8C-E31A7DC27FDF}"/>
    <cellStyle name="Style 29 3 3" xfId="192" xr:uid="{B3C2AA30-5071-487F-9B82-93C38DD3DC0F}"/>
    <cellStyle name="Style 29 4" xfId="57" xr:uid="{38871A47-82B1-41A9-815C-4A0D8022E58A}"/>
    <cellStyle name="Style 29 4 2" xfId="141" xr:uid="{B1D9FC56-ACE4-4E84-BEBC-553A17E762D7}"/>
    <cellStyle name="Style 29 4 2 2" xfId="285" xr:uid="{CFB34D53-E316-4BEF-9FE9-A736821414C2}"/>
    <cellStyle name="Style 29 4 2 3" xfId="337" xr:uid="{29714B08-E7F8-4C3E-A64E-F87BA82A38FC}"/>
    <cellStyle name="Style 29 4 3" xfId="201" xr:uid="{942D61BC-B438-4B65-AD3F-5E7D0B369E98}"/>
    <cellStyle name="Style 29 4 4" xfId="200" xr:uid="{C3BB3556-8371-4E91-A1A6-BDFB4ED019FC}"/>
    <cellStyle name="Style 29 5" xfId="61" xr:uid="{4BEA1BD0-4480-40F4-91C2-E76A7B9FE320}"/>
    <cellStyle name="Style 29 5 2" xfId="144" xr:uid="{4AD97575-C034-45C8-90F4-D0AD8A165E78}"/>
    <cellStyle name="Style 29 5 2 2" xfId="288" xr:uid="{5F7032E2-5CD8-401D-BD60-3C361225F0EF}"/>
    <cellStyle name="Style 29 5 2 3" xfId="338" xr:uid="{A9803756-515E-419F-AA36-E7E3C981AD0E}"/>
    <cellStyle name="Style 29 5 3" xfId="204" xr:uid="{54857942-20D8-4484-BB57-31175228BAAB}"/>
    <cellStyle name="Style 29 5 4" xfId="191" xr:uid="{8E21403D-B368-4FA2-8498-1DD00EBD55E1}"/>
    <cellStyle name="Style 29 6" xfId="194" xr:uid="{BB9635AE-6CBB-40A1-9C90-4F1F44E00377}"/>
    <cellStyle name="Style 30" xfId="46" xr:uid="{1CDB3AD8-4516-497C-A598-7F00295C42C7}"/>
    <cellStyle name="Style 31" xfId="47" xr:uid="{3118B58B-219E-41A7-BAAB-FCE6EB721FD7}"/>
    <cellStyle name="Texte explicatif" xfId="14" builtinId="53" customBuiltin="1"/>
    <cellStyle name="Titre 2" xfId="62" xr:uid="{7832813A-A5A3-4C26-8B85-79AAFDB7C873}"/>
    <cellStyle name="Titre 1" xfId="2" builtinId="16" customBuiltin="1"/>
    <cellStyle name="Titre 2" xfId="3" builtinId="17" customBuiltin="1"/>
    <cellStyle name="Titre 3" xfId="4" builtinId="18" customBuiltin="1"/>
    <cellStyle name="Titre 4" xfId="5" builtinId="19" customBuiltin="1"/>
    <cellStyle name="Total" xfId="15" builtinId="25" customBuiltin="1"/>
    <cellStyle name="Vérification" xfId="12"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CE1\ICE\KERIA\D&#233;tail%20des%20Prix%20Site%20&#224;%20Site%20avec%20comparatif%20ancien%20contrat%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95872/AppData/Local/Microsoft/Windows/Temporary%20Internet%20Files/Content.Outlook/SY2ICNGQ/Fichiers%20optimisations%20parc%20DE/Fichiers%20calcul/Optimisation_TURPE5_ELD_avecCalcu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ier Client"/>
      <sheetName val="TURPE_Site_a_Site"/>
      <sheetName val="Taxes_Site_a_Site"/>
      <sheetName val="Paramètres"/>
    </sheetNames>
    <sheetDataSet>
      <sheetData sheetId="0"/>
      <sheetData sheetId="1"/>
      <sheetData sheetId="2"/>
      <sheetData sheetId="3">
        <row r="57">
          <cell r="B57">
            <v>41.8</v>
          </cell>
          <cell r="C57">
            <v>28.1</v>
          </cell>
          <cell r="D57">
            <v>18.899999999999999</v>
          </cell>
          <cell r="E57">
            <v>17.399999999999999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Stats"/>
      <sheetName val="M021_Contrats"/>
      <sheetName val="HTA"/>
      <sheetName val="BT"/>
      <sheetName val="redressement"/>
      <sheetName val="Jaune"/>
      <sheetName val="Orange"/>
      <sheetName val="TC"/>
      <sheetName val="TD"/>
      <sheetName val="Paramètres"/>
      <sheetName val="Légende"/>
      <sheetName val="Lexique"/>
    </sheetNames>
    <sheetDataSet>
      <sheetData sheetId="0" refreshError="1"/>
      <sheetData sheetId="1" refreshError="1"/>
      <sheetData sheetId="2" refreshError="1"/>
      <sheetData sheetId="3">
        <row r="1">
          <cell r="F1">
            <v>94</v>
          </cell>
        </row>
      </sheetData>
      <sheetData sheetId="4">
        <row r="1">
          <cell r="F1">
            <v>165</v>
          </cell>
        </row>
      </sheetData>
      <sheetData sheetId="5" refreshError="1"/>
      <sheetData sheetId="6" refreshError="1"/>
      <sheetData sheetId="7" refreshError="1"/>
      <sheetData sheetId="8">
        <row r="2">
          <cell r="H2" t="str">
            <v>Tarif consommations prof. puissance &lt;= 36kVA (en MWh)</v>
          </cell>
          <cell r="I2" t="str">
            <v>Tarif consommations prof. puissance &gt; 36kVA et &lt;= 250kVA(en MWh)</v>
          </cell>
        </row>
      </sheetData>
      <sheetData sheetId="9">
        <row r="2">
          <cell r="D2" t="str">
            <v>Tarif consommations prof. puissance &lt;= 36kVA (en MWh)</v>
          </cell>
          <cell r="E2" t="str">
            <v>Tarif consommations prof. puissance &gt; 36kVA et &lt;= 250kVA(en MWh)</v>
          </cell>
        </row>
      </sheetData>
      <sheetData sheetId="10"/>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3889E-9390-40FA-8FDD-6524CF2F6E79}">
  <sheetPr>
    <pageSetUpPr fitToPage="1"/>
  </sheetPr>
  <dimension ref="A1:B47"/>
  <sheetViews>
    <sheetView tabSelected="1" workbookViewId="0">
      <pane ySplit="4" topLeftCell="A5" activePane="bottomLeft" state="frozen"/>
      <selection pane="bottomLeft" activeCell="A47" sqref="A47"/>
    </sheetView>
  </sheetViews>
  <sheetFormatPr baseColWidth="10" defaultRowHeight="12.75" x14ac:dyDescent="0.2"/>
  <cols>
    <col min="1" max="1" width="66" style="20" customWidth="1"/>
    <col min="2" max="2" width="83.5703125" style="19" customWidth="1"/>
    <col min="3" max="16384" width="11.42578125" style="19"/>
  </cols>
  <sheetData>
    <row r="1" spans="1:2" ht="18.75" x14ac:dyDescent="0.3">
      <c r="A1" s="141" t="s">
        <v>265</v>
      </c>
      <c r="B1" s="141"/>
    </row>
    <row r="2" spans="1:2" ht="18.75" x14ac:dyDescent="0.3">
      <c r="A2" s="141" t="s">
        <v>37</v>
      </c>
      <c r="B2" s="141"/>
    </row>
    <row r="3" spans="1:2" x14ac:dyDescent="0.2">
      <c r="B3" s="20"/>
    </row>
    <row r="4" spans="1:2" ht="63.75" x14ac:dyDescent="0.2">
      <c r="A4" s="25" t="s">
        <v>36</v>
      </c>
      <c r="B4" s="78" t="s">
        <v>76</v>
      </c>
    </row>
    <row r="5" spans="1:2" ht="19.5" x14ac:dyDescent="0.2">
      <c r="A5" s="119" t="s">
        <v>64</v>
      </c>
      <c r="B5" s="123"/>
    </row>
    <row r="6" spans="1:2" ht="19.5" x14ac:dyDescent="0.2">
      <c r="A6" s="120" t="s">
        <v>129</v>
      </c>
      <c r="B6" s="121" t="s">
        <v>129</v>
      </c>
    </row>
    <row r="7" spans="1:2" ht="15" x14ac:dyDescent="0.25">
      <c r="A7" s="22" t="s">
        <v>79</v>
      </c>
      <c r="B7" s="21"/>
    </row>
    <row r="8" spans="1:2" ht="15" x14ac:dyDescent="0.25">
      <c r="A8" s="22" t="s">
        <v>125</v>
      </c>
      <c r="B8" s="21"/>
    </row>
    <row r="9" spans="1:2" x14ac:dyDescent="0.2">
      <c r="A9" s="122" t="s">
        <v>118</v>
      </c>
      <c r="B9" s="23"/>
    </row>
    <row r="10" spans="1:2" ht="30.75" customHeight="1" x14ac:dyDescent="0.25">
      <c r="A10" s="24" t="s">
        <v>35</v>
      </c>
      <c r="B10" s="23"/>
    </row>
    <row r="11" spans="1:2" ht="15" x14ac:dyDescent="0.25">
      <c r="A11" s="24" t="s">
        <v>34</v>
      </c>
      <c r="B11" s="23"/>
    </row>
    <row r="12" spans="1:2" ht="15" x14ac:dyDescent="0.25">
      <c r="A12" s="24" t="s">
        <v>33</v>
      </c>
      <c r="B12" s="23"/>
    </row>
    <row r="13" spans="1:2" ht="17.25" customHeight="1" x14ac:dyDescent="0.25">
      <c r="A13" s="22" t="s">
        <v>102</v>
      </c>
      <c r="B13" s="21"/>
    </row>
    <row r="14" spans="1:2" ht="15" x14ac:dyDescent="0.25">
      <c r="A14" s="24" t="s">
        <v>121</v>
      </c>
      <c r="B14" s="23"/>
    </row>
    <row r="15" spans="1:2" ht="15" x14ac:dyDescent="0.25">
      <c r="A15" s="24" t="s">
        <v>122</v>
      </c>
      <c r="B15" s="23"/>
    </row>
    <row r="16" spans="1:2" ht="17.25" customHeight="1" x14ac:dyDescent="0.25">
      <c r="A16" s="22" t="s">
        <v>80</v>
      </c>
      <c r="B16" s="21"/>
    </row>
    <row r="17" spans="1:2" ht="30" x14ac:dyDescent="0.25">
      <c r="A17" s="24" t="s">
        <v>270</v>
      </c>
      <c r="B17" s="23"/>
    </row>
    <row r="18" spans="1:2" ht="15" x14ac:dyDescent="0.25">
      <c r="A18" s="24" t="s">
        <v>119</v>
      </c>
      <c r="B18" s="23"/>
    </row>
    <row r="19" spans="1:2" ht="17.25" customHeight="1" x14ac:dyDescent="0.25">
      <c r="A19" s="22" t="s">
        <v>123</v>
      </c>
      <c r="B19" s="21"/>
    </row>
    <row r="20" spans="1:2" ht="15" x14ac:dyDescent="0.25">
      <c r="A20" s="24" t="s">
        <v>124</v>
      </c>
      <c r="B20" s="23"/>
    </row>
    <row r="21" spans="1:2" ht="15" x14ac:dyDescent="0.25">
      <c r="A21" s="22" t="s">
        <v>81</v>
      </c>
      <c r="B21" s="21"/>
    </row>
    <row r="22" spans="1:2" ht="30" x14ac:dyDescent="0.25">
      <c r="A22" s="24" t="s">
        <v>120</v>
      </c>
      <c r="B22" s="23"/>
    </row>
    <row r="23" spans="1:2" ht="30" x14ac:dyDescent="0.25">
      <c r="A23" s="24" t="s">
        <v>32</v>
      </c>
      <c r="B23" s="23"/>
    </row>
    <row r="24" spans="1:2" ht="15" x14ac:dyDescent="0.25">
      <c r="A24" s="24" t="s">
        <v>31</v>
      </c>
      <c r="B24" s="23"/>
    </row>
    <row r="25" spans="1:2" ht="15" x14ac:dyDescent="0.25">
      <c r="A25" s="24" t="s">
        <v>30</v>
      </c>
      <c r="B25" s="23"/>
    </row>
    <row r="26" spans="1:2" ht="17.25" customHeight="1" x14ac:dyDescent="0.25">
      <c r="A26" s="22" t="s">
        <v>126</v>
      </c>
      <c r="B26" s="21"/>
    </row>
    <row r="27" spans="1:2" ht="60" x14ac:dyDescent="0.25">
      <c r="A27" s="24" t="s">
        <v>128</v>
      </c>
      <c r="B27" s="23"/>
    </row>
    <row r="28" spans="1:2" ht="75" x14ac:dyDescent="0.25">
      <c r="A28" s="24" t="s">
        <v>127</v>
      </c>
      <c r="B28" s="23"/>
    </row>
    <row r="29" spans="1:2" ht="15" x14ac:dyDescent="0.25">
      <c r="A29" s="22" t="s">
        <v>130</v>
      </c>
      <c r="B29" s="21"/>
    </row>
    <row r="30" spans="1:2" ht="15" x14ac:dyDescent="0.25">
      <c r="A30" s="24" t="s">
        <v>131</v>
      </c>
      <c r="B30" s="23"/>
    </row>
    <row r="31" spans="1:2" ht="15" x14ac:dyDescent="0.25">
      <c r="A31" s="22" t="s">
        <v>84</v>
      </c>
      <c r="B31" s="21"/>
    </row>
    <row r="32" spans="1:2" ht="45" x14ac:dyDescent="0.25">
      <c r="A32" s="24" t="s">
        <v>132</v>
      </c>
      <c r="B32" s="23"/>
    </row>
    <row r="33" spans="1:2" ht="32.25" customHeight="1" x14ac:dyDescent="0.25">
      <c r="A33" s="24" t="s">
        <v>133</v>
      </c>
      <c r="B33" s="23"/>
    </row>
    <row r="34" spans="1:2" ht="15" x14ac:dyDescent="0.25">
      <c r="A34" s="24" t="s">
        <v>266</v>
      </c>
      <c r="B34" s="23"/>
    </row>
    <row r="35" spans="1:2" ht="15" x14ac:dyDescent="0.25">
      <c r="A35" s="24" t="s">
        <v>267</v>
      </c>
      <c r="B35" s="23"/>
    </row>
    <row r="36" spans="1:2" ht="15" x14ac:dyDescent="0.25">
      <c r="A36" s="22" t="s">
        <v>82</v>
      </c>
      <c r="B36" s="21"/>
    </row>
    <row r="37" spans="1:2" ht="15" x14ac:dyDescent="0.25">
      <c r="A37" s="24" t="s">
        <v>77</v>
      </c>
      <c r="B37" s="23"/>
    </row>
    <row r="38" spans="1:2" ht="90" x14ac:dyDescent="0.25">
      <c r="A38" s="24" t="s">
        <v>268</v>
      </c>
      <c r="B38" s="23"/>
    </row>
    <row r="39" spans="1:2" ht="15" x14ac:dyDescent="0.25">
      <c r="A39" s="22" t="s">
        <v>134</v>
      </c>
      <c r="B39" s="21"/>
    </row>
    <row r="40" spans="1:2" ht="15" x14ac:dyDescent="0.25">
      <c r="A40" s="24" t="s">
        <v>135</v>
      </c>
      <c r="B40" s="23"/>
    </row>
    <row r="41" spans="1:2" ht="15" x14ac:dyDescent="0.25">
      <c r="A41" s="22" t="s">
        <v>83</v>
      </c>
      <c r="B41" s="21"/>
    </row>
    <row r="42" spans="1:2" ht="15" x14ac:dyDescent="0.25">
      <c r="A42" s="24" t="s">
        <v>269</v>
      </c>
      <c r="B42" s="23"/>
    </row>
    <row r="43" spans="1:2" ht="15" x14ac:dyDescent="0.25">
      <c r="A43" s="22" t="s">
        <v>136</v>
      </c>
      <c r="B43" s="21"/>
    </row>
    <row r="44" spans="1:2" ht="15" x14ac:dyDescent="0.25">
      <c r="A44" s="24" t="s">
        <v>137</v>
      </c>
      <c r="B44" s="23"/>
    </row>
    <row r="45" spans="1:2" ht="15" x14ac:dyDescent="0.25">
      <c r="A45" s="22" t="s">
        <v>271</v>
      </c>
      <c r="B45" s="21"/>
    </row>
    <row r="46" spans="1:2" ht="15" x14ac:dyDescent="0.25">
      <c r="A46" s="24" t="s">
        <v>272</v>
      </c>
      <c r="B46" s="23"/>
    </row>
    <row r="47" spans="1:2" ht="15" x14ac:dyDescent="0.25">
      <c r="A47" s="22" t="s">
        <v>78</v>
      </c>
      <c r="B47" s="21"/>
    </row>
  </sheetData>
  <mergeCells count="2">
    <mergeCell ref="A1:B1"/>
    <mergeCell ref="A2:B2"/>
  </mergeCells>
  <pageMargins left="0.7" right="0.7" top="0.75" bottom="0.75" header="0.3" footer="0.3"/>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FDDF4-DF27-40B9-BC57-1E4EEBC17C81}">
  <sheetPr>
    <pageSetUpPr fitToPage="1"/>
  </sheetPr>
  <dimension ref="A1:AE219"/>
  <sheetViews>
    <sheetView zoomScaleNormal="100" workbookViewId="0">
      <pane ySplit="5" topLeftCell="A46" activePane="bottomLeft" state="frozen"/>
      <selection pane="bottomLeft" activeCell="P64" sqref="P64"/>
    </sheetView>
  </sheetViews>
  <sheetFormatPr baseColWidth="10" defaultColWidth="11.42578125" defaultRowHeight="12" outlineLevelCol="1" x14ac:dyDescent="0.2"/>
  <cols>
    <col min="1" max="1" width="13.85546875" style="36" customWidth="1"/>
    <col min="2" max="2" width="32" style="36" bestFit="1" customWidth="1"/>
    <col min="3" max="3" width="15.85546875" style="36" customWidth="1" outlineLevel="1"/>
    <col min="4" max="4" width="37.140625" style="36" customWidth="1" outlineLevel="1"/>
    <col min="5" max="5" width="9.140625" style="40" customWidth="1" outlineLevel="1"/>
    <col min="6" max="6" width="19.28515625" style="36" customWidth="1" outlineLevel="1"/>
    <col min="7" max="7" width="6.42578125" style="36" customWidth="1" outlineLevel="1"/>
    <col min="8" max="8" width="13.85546875" style="36" bestFit="1" customWidth="1"/>
    <col min="9" max="9" width="9.28515625" style="39" bestFit="1" customWidth="1"/>
    <col min="10" max="10" width="6.28515625" style="127" customWidth="1"/>
    <col min="11" max="11" width="8.140625" style="36" bestFit="1" customWidth="1"/>
    <col min="12" max="12" width="6.28515625" style="36" bestFit="1" customWidth="1"/>
    <col min="13" max="13" width="6.140625" style="36" customWidth="1"/>
    <col min="14" max="18" width="6.140625" style="36" customWidth="1" outlineLevel="1"/>
    <col min="19" max="23" width="6.42578125" style="36" customWidth="1" outlineLevel="1"/>
    <col min="24" max="24" width="8.5703125" style="38" customWidth="1"/>
    <col min="25" max="25" width="8.5703125" style="37" customWidth="1"/>
    <col min="26" max="16384" width="11.42578125" style="36"/>
  </cols>
  <sheetData>
    <row r="1" spans="1:31" ht="12.75" x14ac:dyDescent="0.2">
      <c r="A1" s="72" t="s">
        <v>75</v>
      </c>
      <c r="B1" s="75">
        <f>COUNTA(M6:M7)</f>
        <v>2</v>
      </c>
      <c r="M1" s="77" t="s">
        <v>74</v>
      </c>
      <c r="T1" s="136">
        <f>SUM(T6:T7)</f>
        <v>103.834</v>
      </c>
      <c r="U1" s="136">
        <f>SUM(U6:U7)</f>
        <v>40.563999999999993</v>
      </c>
      <c r="V1" s="136">
        <f>SUM(V6:V7)</f>
        <v>60.816999999999993</v>
      </c>
      <c r="W1" s="136">
        <f>SUM(W6:W7)</f>
        <v>18.904</v>
      </c>
      <c r="X1" s="76">
        <f>SUM(X6:X7)</f>
        <v>224.11899999999997</v>
      </c>
      <c r="Y1" s="53"/>
    </row>
    <row r="2" spans="1:31" ht="12.75" x14ac:dyDescent="0.2">
      <c r="A2" s="72" t="s">
        <v>73</v>
      </c>
      <c r="B2" s="75">
        <f>COUNTA(M8:M84)</f>
        <v>73</v>
      </c>
      <c r="M2" s="74" t="s">
        <v>72</v>
      </c>
      <c r="S2" s="136">
        <f>SUM(S8:S80)</f>
        <v>398.74899999999997</v>
      </c>
      <c r="T2" s="136">
        <f>SUM(T8:T80)</f>
        <v>3.3119999999999998</v>
      </c>
      <c r="U2" s="136">
        <f>SUM(U8:U80)</f>
        <v>1.5449999999999999</v>
      </c>
      <c r="X2" s="73">
        <f>SUM(X8:X85)</f>
        <v>403.60599999999994</v>
      </c>
      <c r="Y2" s="53"/>
    </row>
    <row r="3" spans="1:31" ht="13.5" customHeight="1" x14ac:dyDescent="0.25">
      <c r="A3" s="72" t="s">
        <v>71</v>
      </c>
      <c r="B3" s="71">
        <f>SUM(B1:B2)</f>
        <v>75</v>
      </c>
      <c r="X3" s="70">
        <f>SUM(X1:X2)</f>
        <v>627.72499999999991</v>
      </c>
      <c r="Y3" s="138"/>
    </row>
    <row r="4" spans="1:31" x14ac:dyDescent="0.2">
      <c r="A4" s="79" t="s">
        <v>85</v>
      </c>
      <c r="N4" s="143"/>
      <c r="O4" s="143"/>
      <c r="P4" s="143"/>
      <c r="Q4" s="143"/>
      <c r="R4" s="143"/>
      <c r="S4" s="142"/>
      <c r="T4" s="142"/>
      <c r="U4" s="142"/>
      <c r="V4" s="142"/>
      <c r="W4" s="142"/>
      <c r="X4" s="142"/>
      <c r="Y4" s="69"/>
    </row>
    <row r="5" spans="1:31" s="49" customFormat="1" ht="24" x14ac:dyDescent="0.2">
      <c r="A5" s="65" t="s">
        <v>70</v>
      </c>
      <c r="B5" s="65" t="s">
        <v>69</v>
      </c>
      <c r="C5" s="65" t="s">
        <v>68</v>
      </c>
      <c r="D5" s="65" t="s">
        <v>67</v>
      </c>
      <c r="E5" s="68" t="s">
        <v>66</v>
      </c>
      <c r="F5" s="65" t="s">
        <v>65</v>
      </c>
      <c r="G5" s="65" t="s">
        <v>63</v>
      </c>
      <c r="H5" s="65" t="s">
        <v>62</v>
      </c>
      <c r="I5" s="67" t="s">
        <v>61</v>
      </c>
      <c r="J5" s="66" t="s">
        <v>60</v>
      </c>
      <c r="K5" s="65" t="s">
        <v>59</v>
      </c>
      <c r="L5" s="65" t="s">
        <v>58</v>
      </c>
      <c r="M5" s="65" t="s">
        <v>57</v>
      </c>
      <c r="N5" s="65" t="s">
        <v>138</v>
      </c>
      <c r="O5" s="65" t="s">
        <v>139</v>
      </c>
      <c r="P5" s="65" t="s">
        <v>140</v>
      </c>
      <c r="Q5" s="65" t="s">
        <v>56</v>
      </c>
      <c r="R5" s="65" t="s">
        <v>55</v>
      </c>
      <c r="S5" s="65" t="s">
        <v>138</v>
      </c>
      <c r="T5" s="65" t="s">
        <v>139</v>
      </c>
      <c r="U5" s="65" t="s">
        <v>140</v>
      </c>
      <c r="V5" s="65" t="s">
        <v>56</v>
      </c>
      <c r="W5" s="65" t="s">
        <v>55</v>
      </c>
      <c r="X5" s="64" t="s">
        <v>54</v>
      </c>
      <c r="Y5" s="63"/>
    </row>
    <row r="6" spans="1:31" x14ac:dyDescent="0.2">
      <c r="A6" s="48" t="s">
        <v>141</v>
      </c>
      <c r="B6" s="48" t="s">
        <v>257</v>
      </c>
      <c r="C6" s="129" t="s">
        <v>261</v>
      </c>
      <c r="D6" s="50" t="s">
        <v>259</v>
      </c>
      <c r="E6" s="130">
        <v>31310</v>
      </c>
      <c r="F6" s="131" t="s">
        <v>162</v>
      </c>
      <c r="G6" s="48" t="s">
        <v>50</v>
      </c>
      <c r="H6" s="126">
        <v>50004306198334</v>
      </c>
      <c r="I6" s="51">
        <v>44926</v>
      </c>
      <c r="J6" s="46">
        <f t="shared" ref="J6:J39" si="0">3.315+6.63</f>
        <v>9.9450000000000003</v>
      </c>
      <c r="K6" s="45" t="s">
        <v>262</v>
      </c>
      <c r="L6" s="45" t="s">
        <v>51</v>
      </c>
      <c r="M6" s="62" t="s">
        <v>53</v>
      </c>
      <c r="N6" s="53"/>
      <c r="O6" s="53">
        <v>65</v>
      </c>
      <c r="P6" s="53">
        <v>65</v>
      </c>
      <c r="Q6" s="53">
        <v>65</v>
      </c>
      <c r="R6" s="53">
        <v>65</v>
      </c>
      <c r="S6" s="58"/>
      <c r="T6" s="58">
        <v>25.321000000000002</v>
      </c>
      <c r="U6" s="58">
        <v>4.3369999999999997</v>
      </c>
      <c r="V6" s="58">
        <v>27.736999999999998</v>
      </c>
      <c r="W6" s="58">
        <v>6.2510000000000003</v>
      </c>
      <c r="X6" s="55">
        <f t="shared" ref="X6:X7" si="1">SUM(S6:W6)</f>
        <v>63.645999999999994</v>
      </c>
      <c r="Y6" s="43"/>
      <c r="Z6" s="43"/>
      <c r="AA6" s="43"/>
      <c r="AB6" s="43"/>
    </row>
    <row r="7" spans="1:31" x14ac:dyDescent="0.2">
      <c r="A7" s="48" t="s">
        <v>141</v>
      </c>
      <c r="B7" s="48" t="s">
        <v>258</v>
      </c>
      <c r="C7" s="129" t="s">
        <v>261</v>
      </c>
      <c r="D7" s="50" t="s">
        <v>260</v>
      </c>
      <c r="E7" s="130">
        <v>31310</v>
      </c>
      <c r="F7" s="131" t="s">
        <v>162</v>
      </c>
      <c r="G7" s="48" t="s">
        <v>50</v>
      </c>
      <c r="H7" s="126">
        <v>50065521827820</v>
      </c>
      <c r="I7" s="51">
        <v>44926</v>
      </c>
      <c r="J7" s="46">
        <f t="shared" si="0"/>
        <v>9.9450000000000003</v>
      </c>
      <c r="K7" s="45" t="s">
        <v>262</v>
      </c>
      <c r="L7" s="45" t="s">
        <v>51</v>
      </c>
      <c r="M7" s="62" t="s">
        <v>53</v>
      </c>
      <c r="N7" s="53"/>
      <c r="O7" s="53">
        <v>72</v>
      </c>
      <c r="P7" s="53">
        <v>72</v>
      </c>
      <c r="Q7" s="53">
        <v>72</v>
      </c>
      <c r="R7" s="53">
        <v>72</v>
      </c>
      <c r="S7" s="58"/>
      <c r="T7" s="58">
        <v>78.513000000000005</v>
      </c>
      <c r="U7" s="58">
        <v>36.226999999999997</v>
      </c>
      <c r="V7" s="58">
        <v>33.08</v>
      </c>
      <c r="W7" s="58">
        <v>12.653</v>
      </c>
      <c r="X7" s="55">
        <f t="shared" si="1"/>
        <v>160.47299999999998</v>
      </c>
      <c r="Y7" s="43"/>
      <c r="Z7" s="43"/>
      <c r="AA7" s="43"/>
      <c r="AB7" s="43"/>
      <c r="AC7" s="43"/>
      <c r="AD7" s="43"/>
      <c r="AE7" s="43"/>
    </row>
    <row r="8" spans="1:31" x14ac:dyDescent="0.2">
      <c r="A8" s="48" t="s">
        <v>141</v>
      </c>
      <c r="B8" s="48" t="s">
        <v>142</v>
      </c>
      <c r="C8" s="129" t="s">
        <v>261</v>
      </c>
      <c r="D8" s="50" t="s">
        <v>235</v>
      </c>
      <c r="E8" s="130">
        <v>31310</v>
      </c>
      <c r="F8" s="131" t="s">
        <v>162</v>
      </c>
      <c r="G8" s="48" t="s">
        <v>50</v>
      </c>
      <c r="H8" s="126">
        <v>23346888494531</v>
      </c>
      <c r="I8" s="51">
        <v>44926</v>
      </c>
      <c r="J8" s="46">
        <f t="shared" si="0"/>
        <v>9.9450000000000003</v>
      </c>
      <c r="K8" s="45" t="s">
        <v>263</v>
      </c>
      <c r="L8" s="45" t="s">
        <v>51</v>
      </c>
      <c r="M8" s="56" t="s">
        <v>47</v>
      </c>
      <c r="N8" s="54">
        <v>6</v>
      </c>
      <c r="O8" s="53"/>
      <c r="P8" s="53"/>
      <c r="Q8" s="53"/>
      <c r="R8" s="53"/>
      <c r="S8" s="52">
        <f>+(88+157+257+62+314+274+138-1795+765+479)/1000</f>
        <v>0.73899999999999999</v>
      </c>
      <c r="T8" s="52"/>
      <c r="U8" s="52"/>
      <c r="V8" s="52"/>
      <c r="W8" s="52"/>
      <c r="X8" s="55">
        <f t="shared" ref="X8:X40" si="2">SUM(S8:W8)</f>
        <v>0.73899999999999999</v>
      </c>
      <c r="Y8" s="43"/>
      <c r="Z8" s="43"/>
      <c r="AA8" s="43"/>
      <c r="AB8" s="43"/>
    </row>
    <row r="9" spans="1:31" x14ac:dyDescent="0.2">
      <c r="A9" s="48" t="s">
        <v>141</v>
      </c>
      <c r="B9" s="48" t="s">
        <v>143</v>
      </c>
      <c r="C9" s="129" t="s">
        <v>261</v>
      </c>
      <c r="D9" s="50" t="s">
        <v>231</v>
      </c>
      <c r="E9" s="130">
        <v>31310</v>
      </c>
      <c r="F9" s="131" t="s">
        <v>162</v>
      </c>
      <c r="G9" s="48" t="s">
        <v>50</v>
      </c>
      <c r="H9" s="126">
        <v>23395803110842</v>
      </c>
      <c r="I9" s="51">
        <v>44926</v>
      </c>
      <c r="J9" s="46">
        <f t="shared" si="0"/>
        <v>9.9450000000000003</v>
      </c>
      <c r="K9" s="45" t="s">
        <v>263</v>
      </c>
      <c r="L9" s="45" t="s">
        <v>51</v>
      </c>
      <c r="M9" s="56" t="s">
        <v>47</v>
      </c>
      <c r="N9" s="54">
        <v>6</v>
      </c>
      <c r="O9" s="53"/>
      <c r="P9" s="53"/>
      <c r="Q9" s="53"/>
      <c r="R9" s="53"/>
      <c r="S9" s="52">
        <f>+(917+1279+1618+1077+1022+516-694+1191+1568)/1000</f>
        <v>8.4939999999999998</v>
      </c>
      <c r="T9" s="52"/>
      <c r="U9" s="52"/>
      <c r="V9" s="52"/>
      <c r="W9" s="52"/>
      <c r="X9" s="55">
        <f t="shared" si="2"/>
        <v>8.4939999999999998</v>
      </c>
      <c r="Y9" s="43"/>
    </row>
    <row r="10" spans="1:31" x14ac:dyDescent="0.2">
      <c r="A10" s="48" t="s">
        <v>141</v>
      </c>
      <c r="B10" s="48" t="s">
        <v>147</v>
      </c>
      <c r="C10" s="129" t="s">
        <v>261</v>
      </c>
      <c r="D10" s="61" t="s">
        <v>230</v>
      </c>
      <c r="E10" s="130">
        <v>31310</v>
      </c>
      <c r="F10" s="131" t="s">
        <v>162</v>
      </c>
      <c r="G10" s="48" t="s">
        <v>50</v>
      </c>
      <c r="H10" s="126">
        <v>23399710491314</v>
      </c>
      <c r="I10" s="51">
        <v>44926</v>
      </c>
      <c r="J10" s="46">
        <f t="shared" si="0"/>
        <v>9.9450000000000003</v>
      </c>
      <c r="K10" s="45" t="s">
        <v>263</v>
      </c>
      <c r="L10" s="45" t="s">
        <v>51</v>
      </c>
      <c r="M10" s="56" t="s">
        <v>47</v>
      </c>
      <c r="N10" s="54">
        <v>6</v>
      </c>
      <c r="O10" s="53"/>
      <c r="P10" s="53"/>
      <c r="Q10" s="53"/>
      <c r="R10" s="53"/>
      <c r="S10" s="52">
        <f>+(73+115+40+62+4+166+26+83+48+130+159+169+23+73+26+83-15+155+31+78+33+83+62+154)/1000</f>
        <v>1.861</v>
      </c>
      <c r="T10" s="52"/>
      <c r="U10" s="52"/>
      <c r="V10" s="52"/>
      <c r="W10" s="52"/>
      <c r="X10" s="55">
        <f t="shared" si="2"/>
        <v>1.861</v>
      </c>
      <c r="Y10" s="43"/>
    </row>
    <row r="11" spans="1:31" x14ac:dyDescent="0.2">
      <c r="A11" s="48" t="s">
        <v>141</v>
      </c>
      <c r="B11" s="48" t="s">
        <v>150</v>
      </c>
      <c r="C11" s="129" t="s">
        <v>261</v>
      </c>
      <c r="D11" s="50" t="s">
        <v>235</v>
      </c>
      <c r="E11" s="130">
        <v>31310</v>
      </c>
      <c r="F11" s="131" t="s">
        <v>162</v>
      </c>
      <c r="G11" s="48" t="s">
        <v>50</v>
      </c>
      <c r="H11" s="126">
        <v>23347033212355</v>
      </c>
      <c r="I11" s="51">
        <v>44926</v>
      </c>
      <c r="J11" s="46">
        <f t="shared" si="0"/>
        <v>9.9450000000000003</v>
      </c>
      <c r="K11" s="45" t="s">
        <v>263</v>
      </c>
      <c r="L11" s="45" t="s">
        <v>51</v>
      </c>
      <c r="M11" s="56" t="s">
        <v>47</v>
      </c>
      <c r="N11" s="54">
        <v>6</v>
      </c>
      <c r="O11" s="53"/>
      <c r="P11" s="53"/>
      <c r="Q11" s="53"/>
      <c r="R11" s="53"/>
      <c r="S11" s="52">
        <f>6*0.012</f>
        <v>7.2000000000000008E-2</v>
      </c>
      <c r="T11" s="52"/>
      <c r="U11" s="52"/>
      <c r="V11" s="52"/>
      <c r="W11" s="52"/>
      <c r="X11" s="55">
        <f t="shared" si="2"/>
        <v>7.2000000000000008E-2</v>
      </c>
      <c r="Y11" s="43"/>
    </row>
    <row r="12" spans="1:31" x14ac:dyDescent="0.2">
      <c r="A12" s="48" t="s">
        <v>141</v>
      </c>
      <c r="B12" s="48" t="s">
        <v>155</v>
      </c>
      <c r="C12" s="129" t="s">
        <v>261</v>
      </c>
      <c r="D12" s="50" t="s">
        <v>248</v>
      </c>
      <c r="E12" s="130">
        <v>31310</v>
      </c>
      <c r="F12" s="131" t="s">
        <v>162</v>
      </c>
      <c r="G12" s="48" t="s">
        <v>50</v>
      </c>
      <c r="H12" s="126">
        <v>23317800216505</v>
      </c>
      <c r="I12" s="51">
        <v>44926</v>
      </c>
      <c r="J12" s="46">
        <f t="shared" si="0"/>
        <v>9.9450000000000003</v>
      </c>
      <c r="K12" s="45" t="s">
        <v>263</v>
      </c>
      <c r="L12" s="45" t="s">
        <v>51</v>
      </c>
      <c r="M12" s="56" t="s">
        <v>47</v>
      </c>
      <c r="N12" s="54">
        <v>6</v>
      </c>
      <c r="O12" s="52"/>
      <c r="P12" s="52"/>
      <c r="Q12" s="52"/>
      <c r="R12" s="52"/>
      <c r="S12" s="52">
        <f>+(2402+471+238+526+354+217+641)/1000</f>
        <v>4.8490000000000002</v>
      </c>
      <c r="T12" s="52"/>
      <c r="U12" s="52"/>
      <c r="V12" s="52"/>
      <c r="W12" s="52"/>
      <c r="X12" s="55">
        <f t="shared" si="2"/>
        <v>4.8490000000000002</v>
      </c>
      <c r="Y12" s="43"/>
    </row>
    <row r="13" spans="1:31" x14ac:dyDescent="0.2">
      <c r="A13" s="48" t="s">
        <v>141</v>
      </c>
      <c r="B13" s="48" t="s">
        <v>157</v>
      </c>
      <c r="C13" s="129" t="s">
        <v>261</v>
      </c>
      <c r="D13" s="50" t="s">
        <v>226</v>
      </c>
      <c r="E13" s="130">
        <v>31310</v>
      </c>
      <c r="F13" s="131" t="s">
        <v>162</v>
      </c>
      <c r="G13" s="48" t="s">
        <v>50</v>
      </c>
      <c r="H13" s="126">
        <v>23384804555633</v>
      </c>
      <c r="I13" s="51">
        <v>44926</v>
      </c>
      <c r="J13" s="46">
        <f t="shared" si="0"/>
        <v>9.9450000000000003</v>
      </c>
      <c r="K13" s="45" t="s">
        <v>263</v>
      </c>
      <c r="L13" s="45" t="s">
        <v>51</v>
      </c>
      <c r="M13" s="56" t="s">
        <v>47</v>
      </c>
      <c r="N13" s="54">
        <v>6</v>
      </c>
      <c r="O13" s="53"/>
      <c r="P13" s="53"/>
      <c r="Q13" s="53"/>
      <c r="R13" s="53"/>
      <c r="S13" s="52">
        <f>+(44+34+40+38+39+39+38+39+38+33+38+33)/1000</f>
        <v>0.45300000000000001</v>
      </c>
      <c r="T13" s="52"/>
      <c r="U13" s="52"/>
      <c r="V13" s="52"/>
      <c r="W13" s="52"/>
      <c r="X13" s="55">
        <f t="shared" si="2"/>
        <v>0.45300000000000001</v>
      </c>
      <c r="Y13" s="43"/>
    </row>
    <row r="14" spans="1:31" x14ac:dyDescent="0.2">
      <c r="A14" s="48" t="s">
        <v>141</v>
      </c>
      <c r="B14" s="48" t="s">
        <v>157</v>
      </c>
      <c r="C14" s="129" t="s">
        <v>261</v>
      </c>
      <c r="D14" s="50" t="s">
        <v>250</v>
      </c>
      <c r="E14" s="130">
        <v>31310</v>
      </c>
      <c r="F14" s="131" t="s">
        <v>162</v>
      </c>
      <c r="G14" s="48" t="s">
        <v>50</v>
      </c>
      <c r="H14" s="126">
        <v>23339218450998</v>
      </c>
      <c r="I14" s="51">
        <v>44926</v>
      </c>
      <c r="J14" s="46">
        <f t="shared" si="0"/>
        <v>9.9450000000000003</v>
      </c>
      <c r="K14" s="45" t="s">
        <v>263</v>
      </c>
      <c r="L14" s="45" t="s">
        <v>51</v>
      </c>
      <c r="M14" s="56" t="s">
        <v>47</v>
      </c>
      <c r="N14" s="54">
        <v>6</v>
      </c>
      <c r="O14" s="53"/>
      <c r="P14" s="53"/>
      <c r="Q14" s="53"/>
      <c r="R14" s="53"/>
      <c r="S14" s="52">
        <v>0</v>
      </c>
      <c r="T14" s="52"/>
      <c r="U14" s="52"/>
      <c r="V14" s="52"/>
      <c r="W14" s="52"/>
      <c r="X14" s="55">
        <f t="shared" si="2"/>
        <v>0</v>
      </c>
      <c r="Y14" s="43"/>
    </row>
    <row r="15" spans="1:31" x14ac:dyDescent="0.2">
      <c r="A15" s="48" t="s">
        <v>141</v>
      </c>
      <c r="B15" s="48" t="s">
        <v>162</v>
      </c>
      <c r="C15" s="129" t="s">
        <v>261</v>
      </c>
      <c r="D15" s="50" t="s">
        <v>252</v>
      </c>
      <c r="E15" s="130">
        <v>31310</v>
      </c>
      <c r="F15" s="131" t="s">
        <v>162</v>
      </c>
      <c r="G15" s="48" t="s">
        <v>50</v>
      </c>
      <c r="H15" s="126">
        <v>23379449998945</v>
      </c>
      <c r="I15" s="51">
        <v>44926</v>
      </c>
      <c r="J15" s="46">
        <f t="shared" si="0"/>
        <v>9.9450000000000003</v>
      </c>
      <c r="K15" s="45" t="s">
        <v>263</v>
      </c>
      <c r="L15" s="45" t="s">
        <v>51</v>
      </c>
      <c r="M15" s="56" t="s">
        <v>47</v>
      </c>
      <c r="N15" s="54">
        <v>6</v>
      </c>
      <c r="O15" s="53"/>
      <c r="P15" s="53"/>
      <c r="Q15" s="53"/>
      <c r="R15" s="53"/>
      <c r="S15" s="52">
        <f>+(27+27+25+47+65+29+26+30+33+33+34+28)/1000</f>
        <v>0.40400000000000003</v>
      </c>
      <c r="T15" s="52"/>
      <c r="U15" s="52"/>
      <c r="V15" s="52"/>
      <c r="W15" s="52"/>
      <c r="X15" s="55">
        <f t="shared" si="2"/>
        <v>0.40400000000000003</v>
      </c>
      <c r="Y15" s="43"/>
    </row>
    <row r="16" spans="1:31" x14ac:dyDescent="0.2">
      <c r="A16" s="48" t="s">
        <v>141</v>
      </c>
      <c r="B16" s="48" t="s">
        <v>165</v>
      </c>
      <c r="C16" s="129" t="s">
        <v>261</v>
      </c>
      <c r="D16" s="50" t="s">
        <v>231</v>
      </c>
      <c r="E16" s="130">
        <v>31310</v>
      </c>
      <c r="F16" s="131" t="s">
        <v>162</v>
      </c>
      <c r="G16" s="48" t="s">
        <v>50</v>
      </c>
      <c r="H16" s="126">
        <v>23395947828650</v>
      </c>
      <c r="I16" s="51">
        <v>44926</v>
      </c>
      <c r="J16" s="46">
        <f t="shared" si="0"/>
        <v>9.9450000000000003</v>
      </c>
      <c r="K16" s="45" t="s">
        <v>263</v>
      </c>
      <c r="L16" s="45" t="s">
        <v>51</v>
      </c>
      <c r="M16" s="56" t="s">
        <v>47</v>
      </c>
      <c r="N16" s="54">
        <v>6</v>
      </c>
      <c r="O16" s="53"/>
      <c r="P16" s="53"/>
      <c r="Q16" s="53"/>
      <c r="R16" s="53"/>
      <c r="S16" s="52">
        <v>2.59</v>
      </c>
      <c r="T16" s="52"/>
      <c r="U16" s="52"/>
      <c r="V16" s="52"/>
      <c r="W16" s="52"/>
      <c r="X16" s="55">
        <f t="shared" si="2"/>
        <v>2.59</v>
      </c>
      <c r="Y16" s="43"/>
    </row>
    <row r="17" spans="1:25" x14ac:dyDescent="0.2">
      <c r="A17" s="48" t="s">
        <v>141</v>
      </c>
      <c r="B17" s="48" t="s">
        <v>153</v>
      </c>
      <c r="C17" s="129" t="s">
        <v>261</v>
      </c>
      <c r="D17" s="50" t="s">
        <v>237</v>
      </c>
      <c r="E17" s="130">
        <v>31310</v>
      </c>
      <c r="F17" s="131" t="s">
        <v>162</v>
      </c>
      <c r="G17" s="48" t="s">
        <v>50</v>
      </c>
      <c r="H17" s="126">
        <v>23316787191977</v>
      </c>
      <c r="I17" s="51">
        <v>44926</v>
      </c>
      <c r="J17" s="46">
        <f t="shared" si="0"/>
        <v>9.9450000000000003</v>
      </c>
      <c r="K17" s="45" t="s">
        <v>263</v>
      </c>
      <c r="L17" s="45" t="s">
        <v>51</v>
      </c>
      <c r="M17" s="56" t="s">
        <v>47</v>
      </c>
      <c r="N17" s="54">
        <v>9</v>
      </c>
      <c r="O17" s="53"/>
      <c r="P17" s="53"/>
      <c r="Q17" s="53"/>
      <c r="R17" s="53"/>
      <c r="S17" s="52">
        <f>+(211+113+92-169+49+174+165+168+154)/1000</f>
        <v>0.95699999999999996</v>
      </c>
      <c r="T17" s="52"/>
      <c r="U17" s="52"/>
      <c r="V17" s="52"/>
      <c r="W17" s="52"/>
      <c r="X17" s="55">
        <f t="shared" si="2"/>
        <v>0.95699999999999996</v>
      </c>
      <c r="Y17" s="43"/>
    </row>
    <row r="18" spans="1:25" x14ac:dyDescent="0.2">
      <c r="A18" s="48" t="s">
        <v>141</v>
      </c>
      <c r="B18" s="48" t="s">
        <v>160</v>
      </c>
      <c r="C18" s="129" t="s">
        <v>261</v>
      </c>
      <c r="D18" s="50" t="s">
        <v>245</v>
      </c>
      <c r="E18" s="130">
        <v>31310</v>
      </c>
      <c r="F18" s="131" t="s">
        <v>162</v>
      </c>
      <c r="G18" s="48" t="s">
        <v>50</v>
      </c>
      <c r="H18" s="126">
        <v>23357742329303</v>
      </c>
      <c r="I18" s="51">
        <v>44926</v>
      </c>
      <c r="J18" s="46">
        <f t="shared" si="0"/>
        <v>9.9450000000000003</v>
      </c>
      <c r="K18" s="45" t="s">
        <v>263</v>
      </c>
      <c r="L18" s="45" t="s">
        <v>51</v>
      </c>
      <c r="M18" s="56" t="s">
        <v>47</v>
      </c>
      <c r="N18" s="54">
        <v>15</v>
      </c>
      <c r="O18" s="53"/>
      <c r="P18" s="53"/>
      <c r="Q18" s="53"/>
      <c r="R18" s="53"/>
      <c r="S18" s="52">
        <f>+(328+399+310-568+748+1015+279+994+508)/1000</f>
        <v>4.0129999999999999</v>
      </c>
      <c r="T18" s="52"/>
      <c r="U18" s="52"/>
      <c r="V18" s="52"/>
      <c r="W18" s="52"/>
      <c r="X18" s="55">
        <f t="shared" si="2"/>
        <v>4.0129999999999999</v>
      </c>
      <c r="Y18" s="43"/>
    </row>
    <row r="19" spans="1:25" x14ac:dyDescent="0.2">
      <c r="A19" s="48" t="s">
        <v>141</v>
      </c>
      <c r="B19" s="48" t="s">
        <v>144</v>
      </c>
      <c r="C19" s="129" t="s">
        <v>261</v>
      </c>
      <c r="D19" s="50" t="s">
        <v>243</v>
      </c>
      <c r="E19" s="130">
        <v>31310</v>
      </c>
      <c r="F19" s="131" t="s">
        <v>162</v>
      </c>
      <c r="G19" s="48" t="s">
        <v>50</v>
      </c>
      <c r="H19" s="126">
        <v>23395803110730</v>
      </c>
      <c r="I19" s="51">
        <v>44926</v>
      </c>
      <c r="J19" s="46">
        <f t="shared" si="0"/>
        <v>9.9450000000000003</v>
      </c>
      <c r="K19" s="45" t="s">
        <v>263</v>
      </c>
      <c r="L19" s="45" t="s">
        <v>51</v>
      </c>
      <c r="M19" s="56" t="s">
        <v>47</v>
      </c>
      <c r="N19" s="60">
        <v>18</v>
      </c>
      <c r="O19" s="59"/>
      <c r="P19" s="59"/>
      <c r="Q19" s="59"/>
      <c r="R19" s="59"/>
      <c r="S19" s="52">
        <f>+(13+118+212+161+157+57+9+109+414+561)/1000</f>
        <v>1.8109999999999999</v>
      </c>
      <c r="T19" s="52"/>
      <c r="U19" s="52"/>
      <c r="V19" s="58"/>
      <c r="W19" s="58"/>
      <c r="X19" s="55">
        <f t="shared" si="2"/>
        <v>1.8109999999999999</v>
      </c>
      <c r="Y19" s="43"/>
    </row>
    <row r="20" spans="1:25" x14ac:dyDescent="0.2">
      <c r="A20" s="48" t="s">
        <v>141</v>
      </c>
      <c r="B20" s="48" t="s">
        <v>145</v>
      </c>
      <c r="C20" s="129" t="s">
        <v>261</v>
      </c>
      <c r="D20" s="50" t="s">
        <v>217</v>
      </c>
      <c r="E20" s="130">
        <v>31310</v>
      </c>
      <c r="F20" s="131" t="s">
        <v>162</v>
      </c>
      <c r="G20" s="48" t="s">
        <v>50</v>
      </c>
      <c r="H20" s="126">
        <v>23314905860574</v>
      </c>
      <c r="I20" s="51">
        <v>44926</v>
      </c>
      <c r="J20" s="46">
        <f t="shared" si="0"/>
        <v>9.9450000000000003</v>
      </c>
      <c r="K20" s="45" t="s">
        <v>263</v>
      </c>
      <c r="L20" s="45" t="s">
        <v>51</v>
      </c>
      <c r="M20" s="56" t="s">
        <v>47</v>
      </c>
      <c r="N20" s="54">
        <v>18</v>
      </c>
      <c r="O20" s="59"/>
      <c r="P20" s="59"/>
      <c r="Q20" s="59"/>
      <c r="R20" s="59"/>
      <c r="S20" s="52">
        <f>+(-60+24+21+395+75+86+102)/1000</f>
        <v>0.64300000000000002</v>
      </c>
      <c r="T20" s="52"/>
      <c r="U20" s="52"/>
      <c r="V20" s="58"/>
      <c r="W20" s="58"/>
      <c r="X20" s="55">
        <f t="shared" si="2"/>
        <v>0.64300000000000002</v>
      </c>
      <c r="Y20" s="43"/>
    </row>
    <row r="21" spans="1:25" x14ac:dyDescent="0.2">
      <c r="A21" s="48" t="s">
        <v>141</v>
      </c>
      <c r="B21" s="48" t="s">
        <v>145</v>
      </c>
      <c r="C21" s="129" t="s">
        <v>261</v>
      </c>
      <c r="D21" s="50" t="s">
        <v>235</v>
      </c>
      <c r="E21" s="130">
        <v>31310</v>
      </c>
      <c r="F21" s="131" t="s">
        <v>162</v>
      </c>
      <c r="G21" s="48" t="s">
        <v>50</v>
      </c>
      <c r="H21" s="125">
        <v>23346743776797</v>
      </c>
      <c r="I21" s="51">
        <v>44926</v>
      </c>
      <c r="J21" s="46">
        <f t="shared" si="0"/>
        <v>9.9450000000000003</v>
      </c>
      <c r="K21" s="45" t="s">
        <v>263</v>
      </c>
      <c r="L21" s="45" t="s">
        <v>51</v>
      </c>
      <c r="M21" s="56" t="s">
        <v>47</v>
      </c>
      <c r="N21" s="54">
        <v>18</v>
      </c>
      <c r="O21" s="53"/>
      <c r="P21" s="53"/>
      <c r="Q21" s="53"/>
      <c r="R21" s="53"/>
      <c r="S21" s="52">
        <v>0</v>
      </c>
      <c r="T21" s="52"/>
      <c r="U21" s="52"/>
      <c r="V21" s="52"/>
      <c r="W21" s="52"/>
      <c r="X21" s="55">
        <f t="shared" si="2"/>
        <v>0</v>
      </c>
      <c r="Y21" s="43"/>
    </row>
    <row r="22" spans="1:25" x14ac:dyDescent="0.2">
      <c r="A22" s="48" t="s">
        <v>141</v>
      </c>
      <c r="B22" s="48" t="s">
        <v>148</v>
      </c>
      <c r="C22" s="129" t="s">
        <v>261</v>
      </c>
      <c r="D22" s="50" t="s">
        <v>245</v>
      </c>
      <c r="E22" s="130">
        <v>31310</v>
      </c>
      <c r="F22" s="131" t="s">
        <v>162</v>
      </c>
      <c r="G22" s="48" t="s">
        <v>50</v>
      </c>
      <c r="H22" s="126">
        <v>23357452893787</v>
      </c>
      <c r="I22" s="51">
        <v>44926</v>
      </c>
      <c r="J22" s="46">
        <f t="shared" si="0"/>
        <v>9.9450000000000003</v>
      </c>
      <c r="K22" s="45" t="s">
        <v>263</v>
      </c>
      <c r="L22" s="45" t="s">
        <v>51</v>
      </c>
      <c r="M22" s="56" t="s">
        <v>47</v>
      </c>
      <c r="N22" s="54">
        <v>18</v>
      </c>
      <c r="O22" s="53"/>
      <c r="P22" s="53"/>
      <c r="Q22" s="53"/>
      <c r="R22" s="53"/>
      <c r="S22" s="52">
        <f>+(-44+145+112+193+86+61+28+40+60)/1000</f>
        <v>0.68100000000000005</v>
      </c>
      <c r="T22" s="52"/>
      <c r="U22" s="52"/>
      <c r="V22" s="52"/>
      <c r="W22" s="52"/>
      <c r="X22" s="55">
        <f t="shared" si="2"/>
        <v>0.68100000000000005</v>
      </c>
      <c r="Y22" s="43"/>
    </row>
    <row r="23" spans="1:25" x14ac:dyDescent="0.2">
      <c r="A23" s="48" t="s">
        <v>141</v>
      </c>
      <c r="B23" s="48" t="s">
        <v>150</v>
      </c>
      <c r="C23" s="129" t="s">
        <v>261</v>
      </c>
      <c r="D23" s="50" t="s">
        <v>247</v>
      </c>
      <c r="E23" s="130">
        <v>31310</v>
      </c>
      <c r="F23" s="131" t="s">
        <v>162</v>
      </c>
      <c r="G23" s="48" t="s">
        <v>50</v>
      </c>
      <c r="H23" s="126">
        <v>23311866786890</v>
      </c>
      <c r="I23" s="51">
        <v>44926</v>
      </c>
      <c r="J23" s="46">
        <f t="shared" si="0"/>
        <v>9.9450000000000003</v>
      </c>
      <c r="K23" s="45" t="s">
        <v>263</v>
      </c>
      <c r="L23" s="45" t="s">
        <v>51</v>
      </c>
      <c r="M23" s="56" t="s">
        <v>47</v>
      </c>
      <c r="N23" s="54">
        <v>18</v>
      </c>
      <c r="O23" s="53"/>
      <c r="P23" s="53"/>
      <c r="Q23" s="53"/>
      <c r="R23" s="53"/>
      <c r="S23" s="52">
        <f>+(191+152+358+185+78+153+143+73+66)/1000</f>
        <v>1.399</v>
      </c>
      <c r="T23" s="52"/>
      <c r="U23" s="52"/>
      <c r="V23" s="52"/>
      <c r="W23" s="52"/>
      <c r="X23" s="55">
        <f t="shared" si="2"/>
        <v>1.399</v>
      </c>
      <c r="Y23" s="43"/>
    </row>
    <row r="24" spans="1:25" x14ac:dyDescent="0.2">
      <c r="A24" s="48" t="s">
        <v>141</v>
      </c>
      <c r="B24" s="48" t="s">
        <v>151</v>
      </c>
      <c r="C24" s="129" t="s">
        <v>261</v>
      </c>
      <c r="D24" s="50" t="s">
        <v>246</v>
      </c>
      <c r="E24" s="130">
        <v>31310</v>
      </c>
      <c r="F24" s="131" t="s">
        <v>162</v>
      </c>
      <c r="G24" s="48" t="s">
        <v>50</v>
      </c>
      <c r="H24" s="126">
        <v>23312445657910</v>
      </c>
      <c r="I24" s="51">
        <v>44926</v>
      </c>
      <c r="J24" s="46">
        <f t="shared" si="0"/>
        <v>9.9450000000000003</v>
      </c>
      <c r="K24" s="45" t="s">
        <v>263</v>
      </c>
      <c r="L24" s="45" t="s">
        <v>51</v>
      </c>
      <c r="M24" s="56" t="s">
        <v>47</v>
      </c>
      <c r="N24" s="54">
        <v>18</v>
      </c>
      <c r="O24" s="52"/>
      <c r="P24" s="52"/>
      <c r="Q24" s="52"/>
      <c r="R24" s="52"/>
      <c r="S24" s="52">
        <f>+(3644+2472+2016-2651+549+1398+1282+1926+1143)/1000</f>
        <v>11.779</v>
      </c>
      <c r="T24" s="52"/>
      <c r="U24" s="52"/>
      <c r="V24" s="52"/>
      <c r="W24" s="52"/>
      <c r="X24" s="55">
        <f t="shared" si="2"/>
        <v>11.779</v>
      </c>
      <c r="Y24" s="43"/>
    </row>
    <row r="25" spans="1:25" x14ac:dyDescent="0.2">
      <c r="A25" s="48" t="s">
        <v>141</v>
      </c>
      <c r="B25" s="48" t="s">
        <v>158</v>
      </c>
      <c r="C25" s="129" t="s">
        <v>261</v>
      </c>
      <c r="D25" s="50" t="s">
        <v>208</v>
      </c>
      <c r="E25" s="130">
        <v>31310</v>
      </c>
      <c r="F25" s="131" t="s">
        <v>162</v>
      </c>
      <c r="G25" s="48" t="s">
        <v>50</v>
      </c>
      <c r="H25" s="126">
        <v>23364978219488</v>
      </c>
      <c r="I25" s="51">
        <v>44926</v>
      </c>
      <c r="J25" s="46">
        <f t="shared" si="0"/>
        <v>9.9450000000000003</v>
      </c>
      <c r="K25" s="45" t="s">
        <v>263</v>
      </c>
      <c r="L25" s="45" t="s">
        <v>51</v>
      </c>
      <c r="M25" s="56" t="s">
        <v>47</v>
      </c>
      <c r="N25" s="54">
        <v>18</v>
      </c>
      <c r="O25" s="53"/>
      <c r="P25" s="53"/>
      <c r="Q25" s="53"/>
      <c r="R25" s="53"/>
      <c r="S25" s="52">
        <f>+(785+1055+801-316+213+152+317+314+400+204)/1000</f>
        <v>3.9249999999999998</v>
      </c>
      <c r="T25" s="52"/>
      <c r="U25" s="52"/>
      <c r="V25" s="52"/>
      <c r="W25" s="52"/>
      <c r="X25" s="55">
        <f t="shared" si="2"/>
        <v>3.9249999999999998</v>
      </c>
      <c r="Y25" s="43"/>
    </row>
    <row r="26" spans="1:25" x14ac:dyDescent="0.2">
      <c r="A26" s="48" t="s">
        <v>141</v>
      </c>
      <c r="B26" s="48" t="s">
        <v>161</v>
      </c>
      <c r="C26" s="129" t="s">
        <v>261</v>
      </c>
      <c r="D26" s="50" t="s">
        <v>245</v>
      </c>
      <c r="E26" s="130">
        <v>31310</v>
      </c>
      <c r="F26" s="131" t="s">
        <v>162</v>
      </c>
      <c r="G26" s="48" t="s">
        <v>50</v>
      </c>
      <c r="H26" s="126">
        <v>23357163458197</v>
      </c>
      <c r="I26" s="51">
        <v>44926</v>
      </c>
      <c r="J26" s="46">
        <f t="shared" si="0"/>
        <v>9.9450000000000003</v>
      </c>
      <c r="K26" s="45" t="s">
        <v>263</v>
      </c>
      <c r="L26" s="45" t="s">
        <v>51</v>
      </c>
      <c r="M26" s="56" t="s">
        <v>47</v>
      </c>
      <c r="N26" s="54">
        <v>18</v>
      </c>
      <c r="O26" s="53"/>
      <c r="P26" s="53"/>
      <c r="Q26" s="53"/>
      <c r="R26" s="53"/>
      <c r="S26" s="52">
        <f>+(447+771+598-225+393+754+977+861+644)/1000</f>
        <v>5.22</v>
      </c>
      <c r="T26" s="52"/>
      <c r="U26" s="52"/>
      <c r="V26" s="52"/>
      <c r="W26" s="52"/>
      <c r="X26" s="55">
        <f t="shared" si="2"/>
        <v>5.22</v>
      </c>
      <c r="Y26" s="43"/>
    </row>
    <row r="27" spans="1:25" x14ac:dyDescent="0.2">
      <c r="A27" s="48" t="s">
        <v>141</v>
      </c>
      <c r="B27" s="48" t="s">
        <v>164</v>
      </c>
      <c r="C27" s="129" t="s">
        <v>261</v>
      </c>
      <c r="D27" s="50" t="s">
        <v>228</v>
      </c>
      <c r="E27" s="130">
        <v>31310</v>
      </c>
      <c r="F27" s="131" t="s">
        <v>162</v>
      </c>
      <c r="G27" s="48" t="s">
        <v>50</v>
      </c>
      <c r="H27" s="126">
        <v>23349638132509</v>
      </c>
      <c r="I27" s="51">
        <v>44926</v>
      </c>
      <c r="J27" s="46">
        <f t="shared" si="0"/>
        <v>9.9450000000000003</v>
      </c>
      <c r="K27" s="45" t="s">
        <v>263</v>
      </c>
      <c r="L27" s="45" t="s">
        <v>51</v>
      </c>
      <c r="M27" s="56" t="s">
        <v>47</v>
      </c>
      <c r="N27" s="54">
        <v>18</v>
      </c>
      <c r="O27" s="53"/>
      <c r="P27" s="53"/>
      <c r="Q27" s="53"/>
      <c r="R27" s="53"/>
      <c r="S27" s="52">
        <f>+(121-303+69+56+485)/1000</f>
        <v>0.42799999999999999</v>
      </c>
      <c r="T27" s="52"/>
      <c r="U27" s="52"/>
      <c r="V27" s="52"/>
      <c r="W27" s="52"/>
      <c r="X27" s="55">
        <f t="shared" si="2"/>
        <v>0.42799999999999999</v>
      </c>
      <c r="Y27" s="43"/>
    </row>
    <row r="28" spans="1:25" x14ac:dyDescent="0.2">
      <c r="A28" s="48" t="s">
        <v>141</v>
      </c>
      <c r="B28" s="48" t="s">
        <v>167</v>
      </c>
      <c r="C28" s="129" t="s">
        <v>261</v>
      </c>
      <c r="D28" s="50" t="s">
        <v>245</v>
      </c>
      <c r="E28" s="130">
        <v>31310</v>
      </c>
      <c r="F28" s="131" t="s">
        <v>162</v>
      </c>
      <c r="G28" s="48" t="s">
        <v>50</v>
      </c>
      <c r="H28" s="126">
        <v>23356439869199</v>
      </c>
      <c r="I28" s="51">
        <v>44926</v>
      </c>
      <c r="J28" s="46">
        <f t="shared" si="0"/>
        <v>9.9450000000000003</v>
      </c>
      <c r="K28" s="45" t="s">
        <v>263</v>
      </c>
      <c r="L28" s="45" t="s">
        <v>51</v>
      </c>
      <c r="M28" s="56" t="s">
        <v>47</v>
      </c>
      <c r="N28" s="54">
        <v>18</v>
      </c>
      <c r="O28" s="53"/>
      <c r="P28" s="53"/>
      <c r="Q28" s="53"/>
      <c r="R28" s="53"/>
      <c r="S28" s="52">
        <f>+(2+48+28+22)/5*0.012</f>
        <v>0.24</v>
      </c>
      <c r="T28" s="52"/>
      <c r="U28" s="52"/>
      <c r="V28" s="52"/>
      <c r="W28" s="52"/>
      <c r="X28" s="55">
        <f t="shared" si="2"/>
        <v>0.24</v>
      </c>
      <c r="Y28" s="43"/>
    </row>
    <row r="29" spans="1:25" x14ac:dyDescent="0.2">
      <c r="A29" s="48" t="s">
        <v>141</v>
      </c>
      <c r="B29" s="48" t="s">
        <v>169</v>
      </c>
      <c r="C29" s="129" t="s">
        <v>261</v>
      </c>
      <c r="D29" s="50" t="s">
        <v>253</v>
      </c>
      <c r="E29" s="130">
        <v>31310</v>
      </c>
      <c r="F29" s="131" t="s">
        <v>162</v>
      </c>
      <c r="G29" s="48" t="s">
        <v>50</v>
      </c>
      <c r="H29" s="126">
        <v>23389001374340</v>
      </c>
      <c r="I29" s="51">
        <v>44926</v>
      </c>
      <c r="J29" s="46">
        <f t="shared" si="0"/>
        <v>9.9450000000000003</v>
      </c>
      <c r="K29" s="45" t="s">
        <v>263</v>
      </c>
      <c r="L29" s="45" t="s">
        <v>51</v>
      </c>
      <c r="M29" s="56" t="s">
        <v>47</v>
      </c>
      <c r="N29" s="54">
        <v>18</v>
      </c>
      <c r="O29" s="52"/>
      <c r="P29" s="52"/>
      <c r="Q29" s="52"/>
      <c r="R29" s="52"/>
      <c r="S29" s="52">
        <f>+(431+344+915+260+538+350+491+684+247)/1000</f>
        <v>4.26</v>
      </c>
      <c r="T29" s="52"/>
      <c r="U29" s="52"/>
      <c r="V29" s="52"/>
      <c r="W29" s="52"/>
      <c r="X29" s="55">
        <f t="shared" si="2"/>
        <v>4.26</v>
      </c>
      <c r="Y29" s="43"/>
    </row>
    <row r="30" spans="1:25" x14ac:dyDescent="0.2">
      <c r="A30" s="48" t="s">
        <v>141</v>
      </c>
      <c r="B30" s="48" t="s">
        <v>152</v>
      </c>
      <c r="C30" s="129" t="s">
        <v>261</v>
      </c>
      <c r="D30" s="50" t="s">
        <v>247</v>
      </c>
      <c r="E30" s="130">
        <v>31310</v>
      </c>
      <c r="F30" s="131" t="s">
        <v>162</v>
      </c>
      <c r="G30" s="48" t="s">
        <v>50</v>
      </c>
      <c r="H30" s="126">
        <v>23312011504604</v>
      </c>
      <c r="I30" s="51">
        <v>44926</v>
      </c>
      <c r="J30" s="46">
        <f t="shared" si="0"/>
        <v>9.9450000000000003</v>
      </c>
      <c r="K30" s="45" t="s">
        <v>263</v>
      </c>
      <c r="L30" s="45" t="s">
        <v>51</v>
      </c>
      <c r="M30" s="56" t="s">
        <v>47</v>
      </c>
      <c r="N30" s="54">
        <v>24</v>
      </c>
      <c r="O30" s="52"/>
      <c r="P30" s="52"/>
      <c r="Q30" s="52"/>
      <c r="R30" s="52"/>
      <c r="S30" s="52">
        <f>+(290+483+617-691+239+351+209+267+278)/1000</f>
        <v>2.0430000000000001</v>
      </c>
      <c r="T30" s="52"/>
      <c r="U30" s="52"/>
      <c r="V30" s="52"/>
      <c r="W30" s="52"/>
      <c r="X30" s="55">
        <f t="shared" si="2"/>
        <v>2.0430000000000001</v>
      </c>
      <c r="Y30" s="43"/>
    </row>
    <row r="31" spans="1:25" x14ac:dyDescent="0.2">
      <c r="A31" s="48" t="s">
        <v>141</v>
      </c>
      <c r="B31" s="48" t="s">
        <v>159</v>
      </c>
      <c r="C31" s="129" t="s">
        <v>261</v>
      </c>
      <c r="D31" s="50" t="s">
        <v>251</v>
      </c>
      <c r="E31" s="130">
        <v>31310</v>
      </c>
      <c r="F31" s="131" t="s">
        <v>162</v>
      </c>
      <c r="G31" s="48" t="s">
        <v>50</v>
      </c>
      <c r="H31" s="125">
        <v>23392474601575</v>
      </c>
      <c r="I31" s="51">
        <v>44926</v>
      </c>
      <c r="J31" s="46">
        <f t="shared" si="0"/>
        <v>9.9450000000000003</v>
      </c>
      <c r="K31" s="45" t="s">
        <v>263</v>
      </c>
      <c r="L31" s="45" t="s">
        <v>51</v>
      </c>
      <c r="M31" s="56" t="s">
        <v>47</v>
      </c>
      <c r="N31" s="54">
        <v>24</v>
      </c>
      <c r="O31" s="53"/>
      <c r="P31" s="53"/>
      <c r="Q31" s="53"/>
      <c r="R31" s="53"/>
      <c r="S31" s="52">
        <f>+(1100+1835+2345-6033+554+1064+2000+1865+458)/1000</f>
        <v>5.1879999999999997</v>
      </c>
      <c r="T31" s="52"/>
      <c r="U31" s="52"/>
      <c r="V31" s="52"/>
      <c r="W31" s="52"/>
      <c r="X31" s="55">
        <f t="shared" si="2"/>
        <v>5.1879999999999997</v>
      </c>
      <c r="Y31" s="43"/>
    </row>
    <row r="32" spans="1:25" x14ac:dyDescent="0.2">
      <c r="A32" s="48" t="s">
        <v>141</v>
      </c>
      <c r="B32" s="48" t="s">
        <v>170</v>
      </c>
      <c r="C32" s="129" t="s">
        <v>261</v>
      </c>
      <c r="D32" s="50" t="s">
        <v>254</v>
      </c>
      <c r="E32" s="130">
        <v>31310</v>
      </c>
      <c r="F32" s="131" t="s">
        <v>162</v>
      </c>
      <c r="G32" s="48" t="s">
        <v>50</v>
      </c>
      <c r="H32" s="126">
        <v>23361649706520</v>
      </c>
      <c r="I32" s="51">
        <v>44926</v>
      </c>
      <c r="J32" s="46">
        <f t="shared" si="0"/>
        <v>9.9450000000000003</v>
      </c>
      <c r="K32" s="45" t="s">
        <v>263</v>
      </c>
      <c r="L32" s="45" t="s">
        <v>51</v>
      </c>
      <c r="M32" s="56" t="s">
        <v>47</v>
      </c>
      <c r="N32" s="54">
        <v>24</v>
      </c>
      <c r="O32" s="53"/>
      <c r="P32" s="53"/>
      <c r="Q32" s="53"/>
      <c r="R32" s="53"/>
      <c r="S32" s="52">
        <f>+(59+57+102+61+93+58+161+1659+3018+1836+21-21+3989+3935)/1000</f>
        <v>15.028</v>
      </c>
      <c r="T32" s="52"/>
      <c r="U32" s="52"/>
      <c r="V32" s="52"/>
      <c r="W32" s="52"/>
      <c r="X32" s="55">
        <f t="shared" si="2"/>
        <v>15.028</v>
      </c>
      <c r="Y32" s="43"/>
    </row>
    <row r="33" spans="1:25" x14ac:dyDescent="0.2">
      <c r="A33" s="48" t="s">
        <v>141</v>
      </c>
      <c r="B33" s="48" t="s">
        <v>166</v>
      </c>
      <c r="C33" s="129" t="s">
        <v>261</v>
      </c>
      <c r="D33" s="50" t="s">
        <v>237</v>
      </c>
      <c r="E33" s="130">
        <v>31310</v>
      </c>
      <c r="F33" s="131" t="s">
        <v>162</v>
      </c>
      <c r="G33" s="48" t="s">
        <v>50</v>
      </c>
      <c r="H33" s="126">
        <v>23316642474147</v>
      </c>
      <c r="I33" s="51">
        <v>44926</v>
      </c>
      <c r="J33" s="46">
        <f t="shared" si="0"/>
        <v>9.9450000000000003</v>
      </c>
      <c r="K33" s="45" t="s">
        <v>263</v>
      </c>
      <c r="L33" s="45" t="s">
        <v>51</v>
      </c>
      <c r="M33" s="56" t="s">
        <v>47</v>
      </c>
      <c r="N33" s="54">
        <v>25</v>
      </c>
      <c r="O33" s="53"/>
      <c r="P33" s="53"/>
      <c r="Q33" s="53"/>
      <c r="R33" s="53"/>
      <c r="S33" s="52">
        <f>+(4244+1435+2345-12320+2107+2359+2463+4931+1352)/1000</f>
        <v>8.9160000000000004</v>
      </c>
      <c r="T33" s="52"/>
      <c r="U33" s="52"/>
      <c r="V33" s="52"/>
      <c r="W33" s="52"/>
      <c r="X33" s="55">
        <f t="shared" si="2"/>
        <v>8.9160000000000004</v>
      </c>
      <c r="Y33" s="43"/>
    </row>
    <row r="34" spans="1:25" x14ac:dyDescent="0.2">
      <c r="A34" s="48" t="s">
        <v>141</v>
      </c>
      <c r="B34" s="48" t="s">
        <v>146</v>
      </c>
      <c r="C34" s="129" t="s">
        <v>261</v>
      </c>
      <c r="D34" s="50" t="s">
        <v>244</v>
      </c>
      <c r="E34" s="130">
        <v>31310</v>
      </c>
      <c r="F34" s="131" t="s">
        <v>162</v>
      </c>
      <c r="G34" s="48" t="s">
        <v>50</v>
      </c>
      <c r="H34" s="126">
        <v>23396526699874</v>
      </c>
      <c r="I34" s="51">
        <v>44926</v>
      </c>
      <c r="J34" s="46">
        <f t="shared" si="0"/>
        <v>9.9450000000000003</v>
      </c>
      <c r="K34" s="45" t="s">
        <v>263</v>
      </c>
      <c r="L34" s="45" t="s">
        <v>51</v>
      </c>
      <c r="M34" s="56" t="s">
        <v>47</v>
      </c>
      <c r="N34" s="60">
        <v>36</v>
      </c>
      <c r="O34" s="59"/>
      <c r="P34" s="59"/>
      <c r="Q34" s="59"/>
      <c r="R34" s="59"/>
      <c r="S34" s="52">
        <f>+(9+20+437+1033+12+7+22)/1000</f>
        <v>1.54</v>
      </c>
      <c r="T34" s="52"/>
      <c r="U34" s="52"/>
      <c r="V34" s="58"/>
      <c r="W34" s="58"/>
      <c r="X34" s="55">
        <f t="shared" si="2"/>
        <v>1.54</v>
      </c>
      <c r="Y34" s="43"/>
    </row>
    <row r="35" spans="1:25" x14ac:dyDescent="0.2">
      <c r="A35" s="48" t="s">
        <v>141</v>
      </c>
      <c r="B35" s="48" t="s">
        <v>149</v>
      </c>
      <c r="C35" s="129" t="s">
        <v>261</v>
      </c>
      <c r="D35" s="50" t="s">
        <v>246</v>
      </c>
      <c r="E35" s="130">
        <v>31310</v>
      </c>
      <c r="F35" s="131" t="s">
        <v>162</v>
      </c>
      <c r="G35" s="48" t="s">
        <v>50</v>
      </c>
      <c r="H35" s="126">
        <v>23312300940107</v>
      </c>
      <c r="I35" s="51">
        <v>44926</v>
      </c>
      <c r="J35" s="46">
        <f t="shared" si="0"/>
        <v>9.9450000000000003</v>
      </c>
      <c r="K35" s="45" t="s">
        <v>263</v>
      </c>
      <c r="L35" s="45" t="s">
        <v>51</v>
      </c>
      <c r="M35" s="56" t="s">
        <v>47</v>
      </c>
      <c r="N35" s="54">
        <v>36</v>
      </c>
      <c r="O35" s="53"/>
      <c r="P35" s="53"/>
      <c r="Q35" s="53"/>
      <c r="R35" s="53"/>
      <c r="S35" s="52">
        <f>+(7889+1654+1349-1614+1768+1916)/1000</f>
        <v>12.962</v>
      </c>
      <c r="T35" s="52"/>
      <c r="U35" s="52"/>
      <c r="V35" s="52"/>
      <c r="W35" s="52"/>
      <c r="X35" s="55">
        <f t="shared" si="2"/>
        <v>12.962</v>
      </c>
      <c r="Y35" s="43"/>
    </row>
    <row r="36" spans="1:25" x14ac:dyDescent="0.2">
      <c r="A36" s="48" t="s">
        <v>141</v>
      </c>
      <c r="B36" s="48" t="s">
        <v>154</v>
      </c>
      <c r="C36" s="129" t="s">
        <v>261</v>
      </c>
      <c r="D36" s="50" t="s">
        <v>217</v>
      </c>
      <c r="E36" s="130">
        <v>31310</v>
      </c>
      <c r="F36" s="131" t="s">
        <v>162</v>
      </c>
      <c r="G36" s="48" t="s">
        <v>50</v>
      </c>
      <c r="H36" s="126">
        <v>23314761142726</v>
      </c>
      <c r="I36" s="51">
        <v>44926</v>
      </c>
      <c r="J36" s="46">
        <f t="shared" si="0"/>
        <v>9.9450000000000003</v>
      </c>
      <c r="K36" s="45" t="s">
        <v>263</v>
      </c>
      <c r="L36" s="45" t="s">
        <v>51</v>
      </c>
      <c r="M36" s="56" t="s">
        <v>47</v>
      </c>
      <c r="N36" s="54">
        <v>36</v>
      </c>
      <c r="O36" s="53"/>
      <c r="P36" s="53"/>
      <c r="Q36" s="53"/>
      <c r="R36" s="53"/>
      <c r="S36" s="52">
        <f>+(1276+1250+1019+517+842+1420+861+283+1433)/1000</f>
        <v>8.9009999999999998</v>
      </c>
      <c r="T36" s="52"/>
      <c r="U36" s="52"/>
      <c r="V36" s="52"/>
      <c r="W36" s="52"/>
      <c r="X36" s="55">
        <f t="shared" si="2"/>
        <v>8.9009999999999998</v>
      </c>
      <c r="Y36" s="43"/>
    </row>
    <row r="37" spans="1:25" x14ac:dyDescent="0.2">
      <c r="A37" s="48" t="s">
        <v>141</v>
      </c>
      <c r="B37" s="48" t="s">
        <v>157</v>
      </c>
      <c r="C37" s="129" t="s">
        <v>261</v>
      </c>
      <c r="D37" s="50" t="s">
        <v>246</v>
      </c>
      <c r="E37" s="130">
        <v>31310</v>
      </c>
      <c r="F37" s="131" t="s">
        <v>162</v>
      </c>
      <c r="G37" s="48" t="s">
        <v>50</v>
      </c>
      <c r="H37" s="126">
        <v>23312156222347</v>
      </c>
      <c r="I37" s="51">
        <v>44926</v>
      </c>
      <c r="J37" s="46">
        <f t="shared" si="0"/>
        <v>9.9450000000000003</v>
      </c>
      <c r="K37" s="45" t="s">
        <v>263</v>
      </c>
      <c r="L37" s="45" t="s">
        <v>51</v>
      </c>
      <c r="M37" s="56" t="s">
        <v>47</v>
      </c>
      <c r="N37" s="60">
        <v>36</v>
      </c>
      <c r="O37" s="59"/>
      <c r="P37" s="59"/>
      <c r="Q37" s="59"/>
      <c r="R37" s="59"/>
      <c r="S37" s="52">
        <f>+(10668+4777+3895-1122+4535+4916)/1000</f>
        <v>27.669</v>
      </c>
      <c r="T37" s="52"/>
      <c r="U37" s="52"/>
      <c r="V37" s="58"/>
      <c r="W37" s="58"/>
      <c r="X37" s="55">
        <f t="shared" si="2"/>
        <v>27.669</v>
      </c>
      <c r="Y37" s="43"/>
    </row>
    <row r="38" spans="1:25" x14ac:dyDescent="0.2">
      <c r="A38" s="48" t="s">
        <v>141</v>
      </c>
      <c r="B38" s="48" t="s">
        <v>163</v>
      </c>
      <c r="C38" s="129" t="s">
        <v>261</v>
      </c>
      <c r="D38" s="50" t="s">
        <v>245</v>
      </c>
      <c r="E38" s="130">
        <v>31310</v>
      </c>
      <c r="F38" s="131" t="s">
        <v>162</v>
      </c>
      <c r="G38" s="48" t="s">
        <v>50</v>
      </c>
      <c r="H38" s="126">
        <v>23357308175930</v>
      </c>
      <c r="I38" s="51">
        <v>44926</v>
      </c>
      <c r="J38" s="46">
        <f t="shared" si="0"/>
        <v>9.9450000000000003</v>
      </c>
      <c r="K38" s="45" t="s">
        <v>263</v>
      </c>
      <c r="L38" s="45" t="s">
        <v>51</v>
      </c>
      <c r="M38" s="56" t="s">
        <v>47</v>
      </c>
      <c r="N38" s="54">
        <v>36</v>
      </c>
      <c r="O38" s="53"/>
      <c r="P38" s="53"/>
      <c r="Q38" s="53"/>
      <c r="R38" s="53"/>
      <c r="S38" s="52">
        <f>+(3546+8555+3532-1660)/1000</f>
        <v>13.973000000000001</v>
      </c>
      <c r="T38" s="52"/>
      <c r="U38" s="52"/>
      <c r="V38" s="52"/>
      <c r="W38" s="52"/>
      <c r="X38" s="55">
        <f t="shared" si="2"/>
        <v>13.973000000000001</v>
      </c>
      <c r="Y38" s="43"/>
    </row>
    <row r="39" spans="1:25" x14ac:dyDescent="0.2">
      <c r="A39" s="48" t="s">
        <v>141</v>
      </c>
      <c r="B39" s="48" t="s">
        <v>168</v>
      </c>
      <c r="C39" s="129" t="s">
        <v>261</v>
      </c>
      <c r="D39" s="50" t="s">
        <v>245</v>
      </c>
      <c r="E39" s="130">
        <v>31310</v>
      </c>
      <c r="F39" s="131" t="s">
        <v>162</v>
      </c>
      <c r="G39" s="48" t="s">
        <v>50</v>
      </c>
      <c r="H39" s="126">
        <v>23357597611540</v>
      </c>
      <c r="I39" s="51">
        <v>44926</v>
      </c>
      <c r="J39" s="46">
        <f t="shared" si="0"/>
        <v>9.9450000000000003</v>
      </c>
      <c r="K39" s="45" t="s">
        <v>263</v>
      </c>
      <c r="L39" s="45" t="s">
        <v>51</v>
      </c>
      <c r="M39" s="56" t="s">
        <v>47</v>
      </c>
      <c r="N39" s="54">
        <v>36</v>
      </c>
      <c r="O39" s="53"/>
      <c r="P39" s="53"/>
      <c r="Q39" s="53"/>
      <c r="R39" s="53"/>
      <c r="S39" s="52">
        <f>+(3810+2953-2350+1149+1732+1445+2169+1457)/1000</f>
        <v>12.365</v>
      </c>
      <c r="T39" s="52"/>
      <c r="U39" s="52"/>
      <c r="V39" s="52"/>
      <c r="W39" s="52"/>
      <c r="X39" s="55">
        <f t="shared" si="2"/>
        <v>12.365</v>
      </c>
      <c r="Y39" s="43"/>
    </row>
    <row r="40" spans="1:25" x14ac:dyDescent="0.2">
      <c r="A40" s="48" t="s">
        <v>141</v>
      </c>
      <c r="B40" s="48" t="s">
        <v>156</v>
      </c>
      <c r="C40" s="129" t="s">
        <v>261</v>
      </c>
      <c r="D40" s="50" t="s">
        <v>249</v>
      </c>
      <c r="E40" s="130">
        <v>31310</v>
      </c>
      <c r="F40" s="131" t="s">
        <v>162</v>
      </c>
      <c r="G40" s="48" t="s">
        <v>50</v>
      </c>
      <c r="H40" s="126">
        <v>23395658392932</v>
      </c>
      <c r="I40" s="51">
        <v>44926</v>
      </c>
      <c r="J40" s="46">
        <f t="shared" ref="J40:J42" si="3">3.315+6.63</f>
        <v>9.9450000000000003</v>
      </c>
      <c r="K40" s="57" t="s">
        <v>49</v>
      </c>
      <c r="L40" s="57" t="s">
        <v>48</v>
      </c>
      <c r="M40" s="56" t="s">
        <v>47</v>
      </c>
      <c r="N40" s="54"/>
      <c r="O40" s="53">
        <v>6</v>
      </c>
      <c r="P40" s="53"/>
      <c r="Q40" s="53"/>
      <c r="R40" s="53"/>
      <c r="S40" s="52"/>
      <c r="T40" s="52">
        <f>+(461+207+97+87+105+234+337+94+86+441+656+507)/1000</f>
        <v>3.3119999999999998</v>
      </c>
      <c r="U40" s="52">
        <f>+(263+333+207+41+35+121+79+37+35+42+104+248)/1000</f>
        <v>1.5449999999999999</v>
      </c>
      <c r="V40" s="52"/>
      <c r="W40" s="52"/>
      <c r="X40" s="55">
        <f t="shared" si="2"/>
        <v>4.8569999999999993</v>
      </c>
      <c r="Y40" s="43"/>
    </row>
    <row r="41" spans="1:25" x14ac:dyDescent="0.2">
      <c r="A41" s="48" t="s">
        <v>141</v>
      </c>
      <c r="B41" s="48" t="s">
        <v>171</v>
      </c>
      <c r="C41" s="129" t="s">
        <v>261</v>
      </c>
      <c r="D41" s="50" t="s">
        <v>255</v>
      </c>
      <c r="E41" s="130">
        <v>31310</v>
      </c>
      <c r="F41" s="131" t="s">
        <v>162</v>
      </c>
      <c r="G41" s="48" t="s">
        <v>50</v>
      </c>
      <c r="H41" s="126">
        <v>23375542615605</v>
      </c>
      <c r="I41" s="135">
        <v>45172</v>
      </c>
      <c r="J41" s="46">
        <f t="shared" si="3"/>
        <v>9.9450000000000003</v>
      </c>
      <c r="K41" s="45" t="s">
        <v>263</v>
      </c>
      <c r="L41" s="45" t="s">
        <v>51</v>
      </c>
      <c r="M41" s="56" t="s">
        <v>47</v>
      </c>
      <c r="N41" s="60">
        <v>6</v>
      </c>
      <c r="O41" s="59"/>
      <c r="P41" s="59"/>
      <c r="Q41" s="59"/>
      <c r="R41" s="59"/>
      <c r="S41" s="52">
        <f>+(14+15+14+16+7+14+14+13+13+12+12+13)/1000</f>
        <v>0.157</v>
      </c>
      <c r="T41" s="52"/>
      <c r="U41" s="52"/>
      <c r="V41" s="58"/>
      <c r="W41" s="58"/>
      <c r="X41" s="55">
        <f t="shared" ref="X41:X42" si="4">SUM(S41:W41)</f>
        <v>0.157</v>
      </c>
      <c r="Y41" s="43"/>
    </row>
    <row r="42" spans="1:25" x14ac:dyDescent="0.2">
      <c r="A42" s="48" t="s">
        <v>141</v>
      </c>
      <c r="B42" s="48" t="s">
        <v>172</v>
      </c>
      <c r="C42" s="129" t="s">
        <v>261</v>
      </c>
      <c r="D42" s="50" t="s">
        <v>256</v>
      </c>
      <c r="E42" s="130">
        <v>31310</v>
      </c>
      <c r="F42" s="131" t="s">
        <v>162</v>
      </c>
      <c r="G42" s="48" t="s">
        <v>50</v>
      </c>
      <c r="H42" s="126">
        <v>50057398578008</v>
      </c>
      <c r="I42" s="135">
        <v>45172</v>
      </c>
      <c r="J42" s="46">
        <f t="shared" si="3"/>
        <v>9.9450000000000003</v>
      </c>
      <c r="K42" s="45" t="s">
        <v>263</v>
      </c>
      <c r="L42" s="45" t="s">
        <v>51</v>
      </c>
      <c r="M42" s="56" t="s">
        <v>47</v>
      </c>
      <c r="N42" s="54">
        <v>6</v>
      </c>
      <c r="O42" s="54"/>
      <c r="P42" s="53"/>
      <c r="Q42" s="53"/>
      <c r="R42" s="53"/>
      <c r="S42" s="52">
        <f>+(6+30+31+31+31+31+20+20+20+20+20)/1000</f>
        <v>0.26</v>
      </c>
      <c r="T42" s="52"/>
      <c r="U42" s="52"/>
      <c r="V42" s="48"/>
      <c r="W42" s="48"/>
      <c r="X42" s="55">
        <f t="shared" si="4"/>
        <v>0.26</v>
      </c>
      <c r="Y42" s="43"/>
    </row>
    <row r="43" spans="1:25" x14ac:dyDescent="0.2">
      <c r="A43" s="48" t="s">
        <v>273</v>
      </c>
      <c r="B43" s="48" t="s">
        <v>191</v>
      </c>
      <c r="C43" s="129" t="s">
        <v>261</v>
      </c>
      <c r="D43" s="50" t="s">
        <v>229</v>
      </c>
      <c r="E43" s="130">
        <v>31310</v>
      </c>
      <c r="F43" s="131" t="s">
        <v>162</v>
      </c>
      <c r="G43" s="48" t="s">
        <v>50</v>
      </c>
      <c r="H43" s="47">
        <v>23391606294500</v>
      </c>
      <c r="I43" s="51">
        <v>44926</v>
      </c>
      <c r="J43" s="46">
        <f t="shared" ref="J43:J80" si="5">3.315+6.63</f>
        <v>9.9450000000000003</v>
      </c>
      <c r="K43" s="45" t="s">
        <v>264</v>
      </c>
      <c r="L43" s="45" t="s">
        <v>52</v>
      </c>
      <c r="M43" s="56" t="s">
        <v>47</v>
      </c>
      <c r="N43" s="133">
        <v>1</v>
      </c>
      <c r="O43" s="50"/>
      <c r="P43" s="50"/>
      <c r="Q43" s="50"/>
      <c r="R43" s="50"/>
      <c r="S43" s="52">
        <f>+(202+172+86+105+108+106+108+102+82)/1000</f>
        <v>1.071</v>
      </c>
      <c r="T43" s="42"/>
      <c r="U43" s="42"/>
      <c r="V43" s="42"/>
      <c r="W43" s="42"/>
      <c r="X43" s="55">
        <f t="shared" ref="X43:X80" si="6">SUM(S43:W43)</f>
        <v>1.071</v>
      </c>
      <c r="Y43" s="43"/>
    </row>
    <row r="44" spans="1:25" x14ac:dyDescent="0.2">
      <c r="A44" s="48" t="s">
        <v>273</v>
      </c>
      <c r="B44" s="48" t="s">
        <v>194</v>
      </c>
      <c r="C44" s="129" t="s">
        <v>261</v>
      </c>
      <c r="D44" s="50" t="s">
        <v>232</v>
      </c>
      <c r="E44" s="130">
        <v>31310</v>
      </c>
      <c r="F44" s="131" t="s">
        <v>162</v>
      </c>
      <c r="G44" s="48" t="s">
        <v>50</v>
      </c>
      <c r="H44" s="47">
        <v>23384949275729</v>
      </c>
      <c r="I44" s="51">
        <v>44926</v>
      </c>
      <c r="J44" s="46">
        <f t="shared" si="5"/>
        <v>9.9450000000000003</v>
      </c>
      <c r="K44" s="45" t="s">
        <v>264</v>
      </c>
      <c r="L44" s="45" t="s">
        <v>52</v>
      </c>
      <c r="M44" s="56" t="s">
        <v>47</v>
      </c>
      <c r="N44" s="133">
        <v>1</v>
      </c>
      <c r="O44" s="48"/>
      <c r="P44" s="48"/>
      <c r="Q44" s="48"/>
      <c r="R44" s="48"/>
      <c r="S44" s="52">
        <f>+(118+376+101+166+229+99)/1000</f>
        <v>1.089</v>
      </c>
      <c r="T44" s="42"/>
      <c r="U44" s="42"/>
      <c r="V44" s="42"/>
      <c r="W44" s="42"/>
      <c r="X44" s="55">
        <f t="shared" si="6"/>
        <v>1.089</v>
      </c>
      <c r="Y44" s="43"/>
    </row>
    <row r="45" spans="1:25" x14ac:dyDescent="0.2">
      <c r="A45" s="48" t="s">
        <v>273</v>
      </c>
      <c r="B45" s="36" t="s">
        <v>205</v>
      </c>
      <c r="C45" s="129" t="s">
        <v>261</v>
      </c>
      <c r="D45" s="128" t="s">
        <v>231</v>
      </c>
      <c r="E45" s="130">
        <v>31310</v>
      </c>
      <c r="F45" s="131" t="s">
        <v>162</v>
      </c>
      <c r="G45" s="48" t="s">
        <v>50</v>
      </c>
      <c r="H45" s="47">
        <v>50089670788559</v>
      </c>
      <c r="I45" s="51">
        <v>44926</v>
      </c>
      <c r="J45" s="46">
        <f t="shared" si="5"/>
        <v>9.9450000000000003</v>
      </c>
      <c r="K45" s="132" t="s">
        <v>264</v>
      </c>
      <c r="L45" s="44" t="s">
        <v>52</v>
      </c>
      <c r="M45" s="56" t="s">
        <v>47</v>
      </c>
      <c r="N45" s="133">
        <v>1.1000000000000001</v>
      </c>
      <c r="S45" s="52">
        <f>(241+205+188+169+190+220+238+287+294+296+279+239)/1000</f>
        <v>2.8460000000000001</v>
      </c>
      <c r="T45" s="42"/>
      <c r="U45" s="42"/>
      <c r="V45" s="42"/>
      <c r="W45" s="42"/>
      <c r="X45" s="55">
        <f t="shared" si="6"/>
        <v>2.8460000000000001</v>
      </c>
      <c r="Y45" s="43"/>
    </row>
    <row r="46" spans="1:25" x14ac:dyDescent="0.2">
      <c r="A46" s="48" t="s">
        <v>273</v>
      </c>
      <c r="B46" s="36" t="s">
        <v>206</v>
      </c>
      <c r="C46" s="129" t="s">
        <v>261</v>
      </c>
      <c r="D46" s="128" t="s">
        <v>241</v>
      </c>
      <c r="E46" s="130">
        <v>31310</v>
      </c>
      <c r="F46" s="131" t="s">
        <v>162</v>
      </c>
      <c r="G46" s="48" t="s">
        <v>50</v>
      </c>
      <c r="H46" s="47">
        <v>50001247510880</v>
      </c>
      <c r="I46" s="51">
        <v>44926</v>
      </c>
      <c r="J46" s="46">
        <f t="shared" si="5"/>
        <v>9.9450000000000003</v>
      </c>
      <c r="K46" s="132" t="s">
        <v>264</v>
      </c>
      <c r="L46" s="44" t="s">
        <v>52</v>
      </c>
      <c r="M46" s="56" t="s">
        <v>47</v>
      </c>
      <c r="N46" s="133">
        <v>1.5</v>
      </c>
      <c r="S46" s="52">
        <f>+(98+348+398+449+478+543+712+657+496+424+348+348)/1000</f>
        <v>5.2990000000000004</v>
      </c>
      <c r="T46" s="42"/>
      <c r="U46" s="42"/>
      <c r="V46" s="42"/>
      <c r="W46" s="42"/>
      <c r="X46" s="55">
        <f t="shared" si="6"/>
        <v>5.2990000000000004</v>
      </c>
      <c r="Y46" s="43"/>
    </row>
    <row r="47" spans="1:25" x14ac:dyDescent="0.2">
      <c r="A47" s="48" t="s">
        <v>273</v>
      </c>
      <c r="B47" s="48" t="s">
        <v>176</v>
      </c>
      <c r="C47" s="129" t="s">
        <v>261</v>
      </c>
      <c r="D47" s="50" t="s">
        <v>214</v>
      </c>
      <c r="E47" s="130">
        <v>31310</v>
      </c>
      <c r="F47" s="131" t="s">
        <v>162</v>
      </c>
      <c r="G47" s="48" t="s">
        <v>50</v>
      </c>
      <c r="H47" s="126">
        <v>23397829160008</v>
      </c>
      <c r="I47" s="51">
        <v>44926</v>
      </c>
      <c r="J47" s="46">
        <f t="shared" si="5"/>
        <v>9.9450000000000003</v>
      </c>
      <c r="K47" s="132" t="s">
        <v>264</v>
      </c>
      <c r="L47" s="45" t="s">
        <v>52</v>
      </c>
      <c r="M47" s="56" t="s">
        <v>47</v>
      </c>
      <c r="N47" s="133">
        <v>2</v>
      </c>
      <c r="O47" s="53"/>
      <c r="P47" s="53"/>
      <c r="Q47" s="53"/>
      <c r="R47" s="53"/>
      <c r="S47" s="52">
        <f>+(543+854+861+645+321+863)/1000</f>
        <v>4.0869999999999997</v>
      </c>
      <c r="T47" s="52"/>
      <c r="U47" s="52"/>
      <c r="V47" s="52"/>
      <c r="W47" s="52"/>
      <c r="X47" s="55">
        <f t="shared" si="6"/>
        <v>4.0869999999999997</v>
      </c>
      <c r="Y47" s="43"/>
    </row>
    <row r="48" spans="1:25" x14ac:dyDescent="0.2">
      <c r="A48" s="48" t="s">
        <v>273</v>
      </c>
      <c r="B48" s="48" t="s">
        <v>180</v>
      </c>
      <c r="C48" s="129" t="s">
        <v>261</v>
      </c>
      <c r="D48" s="50" t="s">
        <v>218</v>
      </c>
      <c r="E48" s="130">
        <v>31310</v>
      </c>
      <c r="F48" s="131" t="s">
        <v>162</v>
      </c>
      <c r="G48" s="48" t="s">
        <v>50</v>
      </c>
      <c r="H48" s="126">
        <v>23353545513331</v>
      </c>
      <c r="I48" s="51">
        <v>44926</v>
      </c>
      <c r="J48" s="46">
        <f t="shared" si="5"/>
        <v>9.9450000000000003</v>
      </c>
      <c r="K48" s="45" t="s">
        <v>264</v>
      </c>
      <c r="L48" s="45" t="s">
        <v>52</v>
      </c>
      <c r="M48" s="56" t="s">
        <v>47</v>
      </c>
      <c r="N48" s="134">
        <v>2</v>
      </c>
      <c r="O48" s="59"/>
      <c r="P48" s="59"/>
      <c r="Q48" s="59"/>
      <c r="R48" s="59"/>
      <c r="S48" s="52">
        <f>+(295+222+145+123+178+186+170+135)/1000</f>
        <v>1.454</v>
      </c>
      <c r="T48" s="52"/>
      <c r="U48" s="52"/>
      <c r="V48" s="58"/>
      <c r="W48" s="58"/>
      <c r="X48" s="55">
        <f t="shared" si="6"/>
        <v>1.454</v>
      </c>
      <c r="Y48" s="43"/>
    </row>
    <row r="49" spans="1:25" x14ac:dyDescent="0.2">
      <c r="A49" s="48" t="s">
        <v>273</v>
      </c>
      <c r="B49" s="48" t="s">
        <v>181</v>
      </c>
      <c r="C49" s="129" t="s">
        <v>261</v>
      </c>
      <c r="D49" s="50" t="s">
        <v>219</v>
      </c>
      <c r="E49" s="130">
        <v>31310</v>
      </c>
      <c r="F49" s="131" t="s">
        <v>162</v>
      </c>
      <c r="G49" s="48" t="s">
        <v>50</v>
      </c>
      <c r="H49" s="126">
        <v>23323444210889</v>
      </c>
      <c r="I49" s="51">
        <v>44926</v>
      </c>
      <c r="J49" s="46">
        <f t="shared" si="5"/>
        <v>9.9450000000000003</v>
      </c>
      <c r="K49" s="45" t="s">
        <v>264</v>
      </c>
      <c r="L49" s="45" t="s">
        <v>52</v>
      </c>
      <c r="M49" s="56" t="s">
        <v>47</v>
      </c>
      <c r="N49" s="133">
        <v>2</v>
      </c>
      <c r="O49" s="52"/>
      <c r="P49" s="52"/>
      <c r="Q49" s="52"/>
      <c r="R49" s="52"/>
      <c r="S49" s="52">
        <f>+(-5085+1750+1403+2702)/1000</f>
        <v>0.77</v>
      </c>
      <c r="T49" s="52"/>
      <c r="U49" s="52"/>
      <c r="V49" s="52"/>
      <c r="W49" s="52"/>
      <c r="X49" s="55">
        <f t="shared" si="6"/>
        <v>0.77</v>
      </c>
      <c r="Y49" s="43"/>
    </row>
    <row r="50" spans="1:25" x14ac:dyDescent="0.2">
      <c r="A50" s="48" t="s">
        <v>273</v>
      </c>
      <c r="B50" s="48" t="s">
        <v>184</v>
      </c>
      <c r="C50" s="129" t="s">
        <v>261</v>
      </c>
      <c r="D50" s="50" t="s">
        <v>222</v>
      </c>
      <c r="E50" s="130">
        <v>31310</v>
      </c>
      <c r="F50" s="131" t="s">
        <v>162</v>
      </c>
      <c r="G50" s="48" t="s">
        <v>50</v>
      </c>
      <c r="H50" s="125">
        <v>23362952170347</v>
      </c>
      <c r="I50" s="51">
        <v>44926</v>
      </c>
      <c r="J50" s="46">
        <f t="shared" si="5"/>
        <v>9.9450000000000003</v>
      </c>
      <c r="K50" s="45" t="s">
        <v>264</v>
      </c>
      <c r="L50" s="45" t="s">
        <v>52</v>
      </c>
      <c r="M50" s="56" t="s">
        <v>47</v>
      </c>
      <c r="N50" s="133">
        <v>2</v>
      </c>
      <c r="O50" s="54"/>
      <c r="P50" s="53"/>
      <c r="Q50" s="53"/>
      <c r="R50" s="53"/>
      <c r="S50" s="52">
        <f>+(540+404+329+281+300+307+314+290+230)/1000</f>
        <v>2.9950000000000001</v>
      </c>
      <c r="T50" s="52"/>
      <c r="U50" s="52"/>
      <c r="V50" s="50"/>
      <c r="W50" s="50"/>
      <c r="X50" s="55">
        <f t="shared" si="6"/>
        <v>2.9950000000000001</v>
      </c>
      <c r="Y50" s="43"/>
    </row>
    <row r="51" spans="1:25" x14ac:dyDescent="0.2">
      <c r="A51" s="48" t="s">
        <v>273</v>
      </c>
      <c r="B51" s="48" t="s">
        <v>199</v>
      </c>
      <c r="C51" s="129" t="s">
        <v>261</v>
      </c>
      <c r="D51" s="50" t="s">
        <v>236</v>
      </c>
      <c r="E51" s="130">
        <v>31310</v>
      </c>
      <c r="F51" s="131" t="s">
        <v>162</v>
      </c>
      <c r="G51" s="48" t="s">
        <v>50</v>
      </c>
      <c r="H51" s="47">
        <v>23369319753341</v>
      </c>
      <c r="I51" s="51">
        <v>44926</v>
      </c>
      <c r="J51" s="46">
        <f t="shared" si="5"/>
        <v>9.9450000000000003</v>
      </c>
      <c r="K51" s="45" t="s">
        <v>264</v>
      </c>
      <c r="L51" s="45" t="s">
        <v>52</v>
      </c>
      <c r="M51" s="56" t="s">
        <v>47</v>
      </c>
      <c r="N51" s="133">
        <v>2</v>
      </c>
      <c r="O51" s="48"/>
      <c r="P51" s="48"/>
      <c r="Q51" s="48"/>
      <c r="R51" s="48"/>
      <c r="S51" s="52">
        <f>+(383+357+277+238+367+399)/1000</f>
        <v>2.0209999999999999</v>
      </c>
      <c r="T51" s="42"/>
      <c r="U51" s="42"/>
      <c r="V51" s="42"/>
      <c r="W51" s="42"/>
      <c r="X51" s="55">
        <f t="shared" si="6"/>
        <v>2.0209999999999999</v>
      </c>
      <c r="Y51" s="43"/>
    </row>
    <row r="52" spans="1:25" x14ac:dyDescent="0.2">
      <c r="A52" s="48" t="s">
        <v>273</v>
      </c>
      <c r="B52" s="36" t="s">
        <v>207</v>
      </c>
      <c r="C52" s="129" t="s">
        <v>261</v>
      </c>
      <c r="D52" s="128" t="s">
        <v>242</v>
      </c>
      <c r="E52" s="130">
        <v>31310</v>
      </c>
      <c r="F52" s="131" t="s">
        <v>162</v>
      </c>
      <c r="G52" s="48" t="s">
        <v>50</v>
      </c>
      <c r="H52" s="47">
        <v>50074764870235</v>
      </c>
      <c r="I52" s="51">
        <v>44926</v>
      </c>
      <c r="J52" s="46">
        <f t="shared" si="5"/>
        <v>9.9450000000000003</v>
      </c>
      <c r="K52" s="132" t="s">
        <v>264</v>
      </c>
      <c r="L52" s="44" t="s">
        <v>52</v>
      </c>
      <c r="M52" s="56" t="s">
        <v>47</v>
      </c>
      <c r="N52" s="133">
        <v>2.7</v>
      </c>
      <c r="S52" s="52">
        <f>+(742+617+573+549+618+717+796+928+996+1084+912+748)/1000</f>
        <v>9.2799999999999994</v>
      </c>
      <c r="T52" s="42"/>
      <c r="U52" s="42"/>
      <c r="V52" s="42"/>
      <c r="W52" s="42"/>
      <c r="X52" s="55">
        <f t="shared" si="6"/>
        <v>9.2799999999999994</v>
      </c>
      <c r="Y52" s="43"/>
    </row>
    <row r="53" spans="1:25" x14ac:dyDescent="0.2">
      <c r="A53" s="48" t="s">
        <v>273</v>
      </c>
      <c r="B53" s="48" t="s">
        <v>147</v>
      </c>
      <c r="C53" s="129" t="s">
        <v>261</v>
      </c>
      <c r="D53" s="50" t="s">
        <v>211</v>
      </c>
      <c r="E53" s="130">
        <v>31310</v>
      </c>
      <c r="F53" s="131" t="s">
        <v>162</v>
      </c>
      <c r="G53" s="48" t="s">
        <v>50</v>
      </c>
      <c r="H53" s="126">
        <v>23362373298976</v>
      </c>
      <c r="I53" s="51">
        <v>44926</v>
      </c>
      <c r="J53" s="46">
        <f t="shared" si="5"/>
        <v>9.9450000000000003</v>
      </c>
      <c r="K53" s="132" t="s">
        <v>264</v>
      </c>
      <c r="L53" s="45" t="s">
        <v>52</v>
      </c>
      <c r="M53" s="56" t="s">
        <v>47</v>
      </c>
      <c r="N53" s="133">
        <v>3</v>
      </c>
      <c r="O53" s="53"/>
      <c r="P53" s="53"/>
      <c r="Q53" s="53"/>
      <c r="R53" s="53"/>
      <c r="S53" s="52">
        <f>+(5587+4473+3443+3251+2135+2694+2776+2566+2096)/1000</f>
        <v>29.021000000000001</v>
      </c>
      <c r="T53" s="52"/>
      <c r="U53" s="52"/>
      <c r="V53" s="52"/>
      <c r="W53" s="52"/>
      <c r="X53" s="55">
        <f t="shared" si="6"/>
        <v>29.021000000000001</v>
      </c>
      <c r="Y53" s="43"/>
    </row>
    <row r="54" spans="1:25" x14ac:dyDescent="0.2">
      <c r="A54" s="48" t="s">
        <v>273</v>
      </c>
      <c r="B54" s="48" t="s">
        <v>182</v>
      </c>
      <c r="C54" s="129" t="s">
        <v>261</v>
      </c>
      <c r="D54" s="50" t="s">
        <v>220</v>
      </c>
      <c r="E54" s="130">
        <v>31310</v>
      </c>
      <c r="F54" s="131" t="s">
        <v>162</v>
      </c>
      <c r="G54" s="48" t="s">
        <v>50</v>
      </c>
      <c r="H54" s="125">
        <v>23367727857732</v>
      </c>
      <c r="I54" s="51">
        <v>44926</v>
      </c>
      <c r="J54" s="46">
        <f t="shared" si="5"/>
        <v>9.9450000000000003</v>
      </c>
      <c r="K54" s="45" t="s">
        <v>264</v>
      </c>
      <c r="L54" s="45" t="s">
        <v>52</v>
      </c>
      <c r="M54" s="56" t="s">
        <v>47</v>
      </c>
      <c r="N54" s="133">
        <v>3</v>
      </c>
      <c r="O54" s="52"/>
      <c r="P54" s="52"/>
      <c r="Q54" s="52"/>
      <c r="R54" s="52"/>
      <c r="S54" s="52">
        <f>+(970+787+1006+476+531+541+548+506+421)/1000</f>
        <v>5.7859999999999996</v>
      </c>
      <c r="T54" s="52"/>
      <c r="U54" s="52"/>
      <c r="V54" s="52"/>
      <c r="W54" s="52"/>
      <c r="X54" s="55">
        <f t="shared" si="6"/>
        <v>5.7859999999999996</v>
      </c>
      <c r="Y54" s="43"/>
    </row>
    <row r="55" spans="1:25" x14ac:dyDescent="0.2">
      <c r="A55" s="48" t="s">
        <v>273</v>
      </c>
      <c r="B55" s="48" t="s">
        <v>185</v>
      </c>
      <c r="C55" s="129" t="s">
        <v>261</v>
      </c>
      <c r="D55" s="50" t="s">
        <v>223</v>
      </c>
      <c r="E55" s="130">
        <v>31310</v>
      </c>
      <c r="F55" s="131" t="s">
        <v>162</v>
      </c>
      <c r="G55" s="48" t="s">
        <v>50</v>
      </c>
      <c r="H55" s="125">
        <v>23327641027099</v>
      </c>
      <c r="I55" s="51">
        <v>44926</v>
      </c>
      <c r="J55" s="46">
        <f t="shared" si="5"/>
        <v>9.9450000000000003</v>
      </c>
      <c r="K55" s="45" t="s">
        <v>264</v>
      </c>
      <c r="L55" s="45" t="s">
        <v>52</v>
      </c>
      <c r="M55" s="56" t="s">
        <v>47</v>
      </c>
      <c r="N55" s="133">
        <v>3</v>
      </c>
      <c r="O55" s="54"/>
      <c r="P55" s="53"/>
      <c r="Q55" s="53"/>
      <c r="R55" s="53"/>
      <c r="S55" s="52">
        <f>+(1881+1482+1187+464+1217+1269)/1000</f>
        <v>7.5</v>
      </c>
      <c r="T55" s="52"/>
      <c r="U55" s="52"/>
      <c r="V55" s="52"/>
      <c r="W55" s="52"/>
      <c r="X55" s="55">
        <f t="shared" si="6"/>
        <v>7.5</v>
      </c>
      <c r="Y55" s="43"/>
    </row>
    <row r="56" spans="1:25" x14ac:dyDescent="0.2">
      <c r="A56" s="48" t="s">
        <v>273</v>
      </c>
      <c r="B56" s="48" t="s">
        <v>188</v>
      </c>
      <c r="C56" s="129" t="s">
        <v>261</v>
      </c>
      <c r="D56" s="50" t="s">
        <v>226</v>
      </c>
      <c r="E56" s="130">
        <v>31310</v>
      </c>
      <c r="F56" s="131" t="s">
        <v>162</v>
      </c>
      <c r="G56" s="48" t="s">
        <v>50</v>
      </c>
      <c r="H56" s="125">
        <v>23380318306109</v>
      </c>
      <c r="I56" s="51">
        <v>44926</v>
      </c>
      <c r="J56" s="46">
        <f t="shared" si="5"/>
        <v>9.9450000000000003</v>
      </c>
      <c r="K56" s="45" t="s">
        <v>264</v>
      </c>
      <c r="L56" s="45" t="s">
        <v>52</v>
      </c>
      <c r="M56" s="56" t="s">
        <v>47</v>
      </c>
      <c r="N56" s="133">
        <v>3</v>
      </c>
      <c r="O56" s="53"/>
      <c r="P56" s="53"/>
      <c r="Q56" s="53"/>
      <c r="R56" s="53"/>
      <c r="S56" s="52">
        <f>+(137+115+188+204+104+106+100+85)/1000</f>
        <v>1.0389999999999999</v>
      </c>
      <c r="T56" s="42"/>
      <c r="U56" s="42"/>
      <c r="V56" s="42"/>
      <c r="W56" s="42"/>
      <c r="X56" s="55">
        <f t="shared" si="6"/>
        <v>1.0389999999999999</v>
      </c>
      <c r="Y56" s="43"/>
    </row>
    <row r="57" spans="1:25" x14ac:dyDescent="0.2">
      <c r="A57" s="48" t="s">
        <v>273</v>
      </c>
      <c r="B57" s="48" t="s">
        <v>189</v>
      </c>
      <c r="C57" s="129" t="s">
        <v>261</v>
      </c>
      <c r="D57" s="50" t="s">
        <v>227</v>
      </c>
      <c r="E57" s="130">
        <v>31310</v>
      </c>
      <c r="F57" s="131" t="s">
        <v>162</v>
      </c>
      <c r="G57" s="48" t="s">
        <v>50</v>
      </c>
      <c r="H57" s="126">
        <v>23382778508708</v>
      </c>
      <c r="I57" s="51">
        <v>44926</v>
      </c>
      <c r="J57" s="46">
        <f t="shared" si="5"/>
        <v>9.9450000000000003</v>
      </c>
      <c r="K57" s="45" t="s">
        <v>264</v>
      </c>
      <c r="L57" s="45" t="s">
        <v>52</v>
      </c>
      <c r="M57" s="56" t="s">
        <v>47</v>
      </c>
      <c r="N57" s="133">
        <v>3</v>
      </c>
      <c r="O57" s="53"/>
      <c r="P57" s="53"/>
      <c r="Q57" s="53"/>
      <c r="R57" s="53"/>
      <c r="S57" s="52">
        <f>+(723+276+441+608+264+521)/1000</f>
        <v>2.8330000000000002</v>
      </c>
      <c r="T57" s="42"/>
      <c r="U57" s="42"/>
      <c r="V57" s="42"/>
      <c r="W57" s="42"/>
      <c r="X57" s="55">
        <f t="shared" si="6"/>
        <v>2.8330000000000002</v>
      </c>
      <c r="Y57" s="43"/>
    </row>
    <row r="58" spans="1:25" x14ac:dyDescent="0.2">
      <c r="A58" s="48" t="s">
        <v>273</v>
      </c>
      <c r="B58" s="48" t="s">
        <v>193</v>
      </c>
      <c r="C58" s="129" t="s">
        <v>261</v>
      </c>
      <c r="D58" s="50" t="s">
        <v>231</v>
      </c>
      <c r="E58" s="130">
        <v>31310</v>
      </c>
      <c r="F58" s="131" t="s">
        <v>162</v>
      </c>
      <c r="G58" s="48" t="s">
        <v>50</v>
      </c>
      <c r="H58" s="47">
        <v>23396092546432</v>
      </c>
      <c r="I58" s="51">
        <v>44926</v>
      </c>
      <c r="J58" s="46">
        <f t="shared" si="5"/>
        <v>9.9450000000000003</v>
      </c>
      <c r="K58" s="45" t="s">
        <v>264</v>
      </c>
      <c r="L58" s="45" t="s">
        <v>52</v>
      </c>
      <c r="M58" s="56" t="s">
        <v>47</v>
      </c>
      <c r="N58" s="133">
        <v>3</v>
      </c>
      <c r="O58" s="48"/>
      <c r="P58" s="48"/>
      <c r="Q58" s="48"/>
      <c r="R58" s="48"/>
      <c r="S58" s="52">
        <f>+(1013+340+557+153+152+308+374+398+381+330)/1000</f>
        <v>4.0060000000000002</v>
      </c>
      <c r="T58" s="42"/>
      <c r="U58" s="42"/>
      <c r="V58" s="42"/>
      <c r="W58" s="42"/>
      <c r="X58" s="55">
        <f t="shared" si="6"/>
        <v>4.0060000000000002</v>
      </c>
      <c r="Y58" s="43"/>
    </row>
    <row r="59" spans="1:25" x14ac:dyDescent="0.2">
      <c r="A59" s="48" t="s">
        <v>273</v>
      </c>
      <c r="B59" s="48" t="s">
        <v>195</v>
      </c>
      <c r="C59" s="129" t="s">
        <v>261</v>
      </c>
      <c r="D59" s="50" t="s">
        <v>233</v>
      </c>
      <c r="E59" s="130">
        <v>31310</v>
      </c>
      <c r="F59" s="131" t="s">
        <v>162</v>
      </c>
      <c r="G59" s="48" t="s">
        <v>50</v>
      </c>
      <c r="H59" s="47">
        <v>23353545513220</v>
      </c>
      <c r="I59" s="51">
        <v>44926</v>
      </c>
      <c r="J59" s="46">
        <f t="shared" si="5"/>
        <v>9.9450000000000003</v>
      </c>
      <c r="K59" s="45" t="s">
        <v>264</v>
      </c>
      <c r="L59" s="45" t="s">
        <v>52</v>
      </c>
      <c r="M59" s="56" t="s">
        <v>47</v>
      </c>
      <c r="N59" s="133">
        <v>3</v>
      </c>
      <c r="O59" s="48"/>
      <c r="P59" s="48"/>
      <c r="Q59" s="48"/>
      <c r="R59" s="48"/>
      <c r="S59" s="52">
        <f>+(1286+1013+442+673+621+629+658+610+531)/1000</f>
        <v>6.4630000000000001</v>
      </c>
      <c r="T59" s="42"/>
      <c r="U59" s="42"/>
      <c r="V59" s="42"/>
      <c r="W59" s="42"/>
      <c r="X59" s="55">
        <f t="shared" si="6"/>
        <v>6.4630000000000001</v>
      </c>
      <c r="Y59" s="43"/>
    </row>
    <row r="60" spans="1:25" x14ac:dyDescent="0.2">
      <c r="A60" s="48" t="s">
        <v>273</v>
      </c>
      <c r="B60" s="48" t="s">
        <v>198</v>
      </c>
      <c r="C60" s="129" t="s">
        <v>261</v>
      </c>
      <c r="D60" s="50" t="s">
        <v>235</v>
      </c>
      <c r="E60" s="130">
        <v>31310</v>
      </c>
      <c r="F60" s="131" t="s">
        <v>162</v>
      </c>
      <c r="G60" s="48" t="s">
        <v>50</v>
      </c>
      <c r="H60" s="47">
        <v>23347177930180</v>
      </c>
      <c r="I60" s="51">
        <v>44926</v>
      </c>
      <c r="J60" s="46">
        <f t="shared" si="5"/>
        <v>9.9450000000000003</v>
      </c>
      <c r="K60" s="45" t="s">
        <v>264</v>
      </c>
      <c r="L60" s="45" t="s">
        <v>52</v>
      </c>
      <c r="M60" s="56" t="s">
        <v>47</v>
      </c>
      <c r="N60" s="133">
        <v>3</v>
      </c>
      <c r="O60" s="48"/>
      <c r="P60" s="48"/>
      <c r="Q60" s="48"/>
      <c r="R60" s="48"/>
      <c r="S60" s="52">
        <f>+(587+162+259+360+185+215+167+203+188+153)/1000</f>
        <v>2.4790000000000001</v>
      </c>
      <c r="T60" s="42"/>
      <c r="U60" s="42"/>
      <c r="V60" s="42"/>
      <c r="W60" s="42"/>
      <c r="X60" s="55">
        <f t="shared" si="6"/>
        <v>2.4790000000000001</v>
      </c>
      <c r="Y60" s="43"/>
    </row>
    <row r="61" spans="1:25" x14ac:dyDescent="0.2">
      <c r="A61" s="48" t="s">
        <v>273</v>
      </c>
      <c r="B61" s="48" t="s">
        <v>201</v>
      </c>
      <c r="C61" s="129" t="s">
        <v>261</v>
      </c>
      <c r="D61" s="50" t="s">
        <v>238</v>
      </c>
      <c r="E61" s="130">
        <v>31310</v>
      </c>
      <c r="F61" s="131" t="s">
        <v>162</v>
      </c>
      <c r="G61" s="48" t="s">
        <v>50</v>
      </c>
      <c r="H61" s="47">
        <v>23340955064799</v>
      </c>
      <c r="I61" s="51">
        <v>44926</v>
      </c>
      <c r="J61" s="46">
        <f t="shared" si="5"/>
        <v>9.9450000000000003</v>
      </c>
      <c r="K61" s="45" t="s">
        <v>264</v>
      </c>
      <c r="L61" s="45" t="s">
        <v>52</v>
      </c>
      <c r="M61" s="56" t="s">
        <v>47</v>
      </c>
      <c r="N61" s="133">
        <v>3</v>
      </c>
      <c r="O61" s="48"/>
      <c r="P61" s="48"/>
      <c r="Q61" s="48"/>
      <c r="R61" s="48"/>
      <c r="S61" s="52">
        <v>3.51</v>
      </c>
      <c r="T61" s="42"/>
      <c r="U61" s="42"/>
      <c r="V61" s="42"/>
      <c r="W61" s="42"/>
      <c r="X61" s="55">
        <f t="shared" si="6"/>
        <v>3.51</v>
      </c>
      <c r="Y61" s="43"/>
    </row>
    <row r="62" spans="1:25" x14ac:dyDescent="0.2">
      <c r="A62" s="48" t="s">
        <v>273</v>
      </c>
      <c r="B62" s="48" t="s">
        <v>202</v>
      </c>
      <c r="C62" s="129" t="s">
        <v>261</v>
      </c>
      <c r="D62" s="50" t="s">
        <v>212</v>
      </c>
      <c r="E62" s="130">
        <v>31310</v>
      </c>
      <c r="F62" s="131" t="s">
        <v>162</v>
      </c>
      <c r="G62" s="48" t="s">
        <v>50</v>
      </c>
      <c r="H62" s="47">
        <v>23366570112631</v>
      </c>
      <c r="I62" s="51">
        <v>44926</v>
      </c>
      <c r="J62" s="46">
        <f t="shared" si="5"/>
        <v>9.9450000000000003</v>
      </c>
      <c r="K62" s="45" t="s">
        <v>264</v>
      </c>
      <c r="L62" s="45" t="s">
        <v>52</v>
      </c>
      <c r="M62" s="56" t="s">
        <v>47</v>
      </c>
      <c r="N62" s="133">
        <v>3.3</v>
      </c>
      <c r="O62" s="48"/>
      <c r="P62" s="48"/>
      <c r="Q62" s="48"/>
      <c r="R62" s="48"/>
      <c r="S62" s="52">
        <f>+(773+295+463+628+263+533)/1000</f>
        <v>2.9550000000000001</v>
      </c>
      <c r="T62" s="42"/>
      <c r="U62" s="42"/>
      <c r="V62" s="42"/>
      <c r="W62" s="42"/>
      <c r="X62" s="55">
        <f t="shared" si="6"/>
        <v>2.9550000000000001</v>
      </c>
      <c r="Y62" s="43"/>
    </row>
    <row r="63" spans="1:25" x14ac:dyDescent="0.2">
      <c r="A63" s="48" t="s">
        <v>273</v>
      </c>
      <c r="B63" s="48" t="s">
        <v>204</v>
      </c>
      <c r="C63" s="129" t="s">
        <v>261</v>
      </c>
      <c r="D63" s="50" t="s">
        <v>240</v>
      </c>
      <c r="E63" s="130">
        <v>31310</v>
      </c>
      <c r="F63" s="131" t="s">
        <v>162</v>
      </c>
      <c r="G63" s="48" t="s">
        <v>50</v>
      </c>
      <c r="H63" s="47">
        <v>23363386323697</v>
      </c>
      <c r="I63" s="51">
        <v>44926</v>
      </c>
      <c r="J63" s="46">
        <f t="shared" si="5"/>
        <v>9.9450000000000003</v>
      </c>
      <c r="K63" s="45" t="s">
        <v>264</v>
      </c>
      <c r="L63" s="45" t="s">
        <v>52</v>
      </c>
      <c r="M63" s="56" t="s">
        <v>47</v>
      </c>
      <c r="N63" s="133">
        <v>3.9</v>
      </c>
      <c r="S63" s="52">
        <f>+(3921+3533+2788+1333+3015+3140)/1000</f>
        <v>17.73</v>
      </c>
      <c r="T63" s="42"/>
      <c r="U63" s="42"/>
      <c r="V63" s="42"/>
      <c r="W63" s="42"/>
      <c r="X63" s="55">
        <f t="shared" si="6"/>
        <v>17.73</v>
      </c>
      <c r="Y63" s="43"/>
    </row>
    <row r="64" spans="1:25" x14ac:dyDescent="0.2">
      <c r="A64" s="48" t="s">
        <v>273</v>
      </c>
      <c r="B64" s="48" t="s">
        <v>203</v>
      </c>
      <c r="C64" s="129" t="s">
        <v>261</v>
      </c>
      <c r="D64" s="50" t="s">
        <v>239</v>
      </c>
      <c r="E64" s="130">
        <v>31310</v>
      </c>
      <c r="F64" s="131" t="s">
        <v>162</v>
      </c>
      <c r="G64" s="48" t="s">
        <v>50</v>
      </c>
      <c r="H64" s="47">
        <v>23382344355473</v>
      </c>
      <c r="I64" s="51">
        <v>44926</v>
      </c>
      <c r="J64" s="46">
        <f t="shared" si="5"/>
        <v>9.9450000000000003</v>
      </c>
      <c r="K64" s="45" t="s">
        <v>264</v>
      </c>
      <c r="L64" s="45" t="s">
        <v>52</v>
      </c>
      <c r="M64" s="56" t="s">
        <v>47</v>
      </c>
      <c r="N64" s="133">
        <v>4.3</v>
      </c>
      <c r="S64" s="52">
        <f>+(3504+3528+2642+1760+3183+3400)/1000</f>
        <v>18.016999999999999</v>
      </c>
      <c r="T64" s="42"/>
      <c r="U64" s="42"/>
      <c r="V64" s="42"/>
      <c r="W64" s="42"/>
      <c r="X64" s="55">
        <f t="shared" si="6"/>
        <v>18.016999999999999</v>
      </c>
      <c r="Y64" s="43"/>
    </row>
    <row r="65" spans="1:25" x14ac:dyDescent="0.2">
      <c r="A65" s="48" t="s">
        <v>273</v>
      </c>
      <c r="B65" s="36" t="s">
        <v>174</v>
      </c>
      <c r="C65" s="129" t="s">
        <v>261</v>
      </c>
      <c r="D65" s="50" t="s">
        <v>209</v>
      </c>
      <c r="E65" s="130">
        <v>31310</v>
      </c>
      <c r="F65" s="131" t="s">
        <v>162</v>
      </c>
      <c r="G65" s="48" t="s">
        <v>50</v>
      </c>
      <c r="H65" s="126">
        <v>23349059261494</v>
      </c>
      <c r="I65" s="51">
        <v>44926</v>
      </c>
      <c r="J65" s="46">
        <f t="shared" si="5"/>
        <v>9.9450000000000003</v>
      </c>
      <c r="K65" s="132" t="s">
        <v>264</v>
      </c>
      <c r="L65" s="45" t="s">
        <v>52</v>
      </c>
      <c r="M65" s="56" t="s">
        <v>47</v>
      </c>
      <c r="N65" s="133">
        <v>6</v>
      </c>
      <c r="O65" s="54"/>
      <c r="P65" s="53"/>
      <c r="Q65" s="53"/>
      <c r="R65" s="53"/>
      <c r="S65" s="52">
        <f>(591+467+259+326+301+306+233+336+255)/1000</f>
        <v>3.0739999999999998</v>
      </c>
      <c r="T65" s="52"/>
      <c r="U65" s="52"/>
      <c r="V65" s="42"/>
      <c r="W65" s="42"/>
      <c r="X65" s="55">
        <f t="shared" si="6"/>
        <v>3.0739999999999998</v>
      </c>
      <c r="Y65" s="43"/>
    </row>
    <row r="66" spans="1:25" x14ac:dyDescent="0.2">
      <c r="A66" s="48" t="s">
        <v>273</v>
      </c>
      <c r="B66" s="48" t="s">
        <v>147</v>
      </c>
      <c r="C66" s="129" t="s">
        <v>261</v>
      </c>
      <c r="D66" s="50" t="s">
        <v>210</v>
      </c>
      <c r="E66" s="130">
        <v>31310</v>
      </c>
      <c r="F66" s="131" t="s">
        <v>162</v>
      </c>
      <c r="G66" s="48" t="s">
        <v>50</v>
      </c>
      <c r="H66" s="126">
        <v>23301591822853</v>
      </c>
      <c r="I66" s="51">
        <v>44926</v>
      </c>
      <c r="J66" s="46">
        <f t="shared" si="5"/>
        <v>9.9450000000000003</v>
      </c>
      <c r="K66" s="132" t="s">
        <v>264</v>
      </c>
      <c r="L66" s="45" t="s">
        <v>52</v>
      </c>
      <c r="M66" s="56" t="s">
        <v>47</v>
      </c>
      <c r="N66" s="133">
        <v>6</v>
      </c>
      <c r="O66" s="53"/>
      <c r="P66" s="53"/>
      <c r="Q66" s="53"/>
      <c r="R66" s="53"/>
      <c r="S66" s="52">
        <f>+(106+66+45+57+52+55+58+52+43)/1000</f>
        <v>0.53400000000000003</v>
      </c>
      <c r="T66" s="52"/>
      <c r="U66" s="52"/>
      <c r="V66" s="52"/>
      <c r="W66" s="52"/>
      <c r="X66" s="55">
        <f t="shared" si="6"/>
        <v>0.53400000000000003</v>
      </c>
      <c r="Y66" s="43"/>
    </row>
    <row r="67" spans="1:25" x14ac:dyDescent="0.2">
      <c r="A67" s="48" t="s">
        <v>273</v>
      </c>
      <c r="B67" s="48" t="s">
        <v>147</v>
      </c>
      <c r="C67" s="129" t="s">
        <v>261</v>
      </c>
      <c r="D67" s="50" t="s">
        <v>212</v>
      </c>
      <c r="E67" s="130">
        <v>31310</v>
      </c>
      <c r="F67" s="131" t="s">
        <v>162</v>
      </c>
      <c r="G67" s="48" t="s">
        <v>50</v>
      </c>
      <c r="H67" s="126">
        <v>23345730752025</v>
      </c>
      <c r="I67" s="51">
        <v>44926</v>
      </c>
      <c r="J67" s="46">
        <f t="shared" si="5"/>
        <v>9.9450000000000003</v>
      </c>
      <c r="K67" s="132" t="s">
        <v>264</v>
      </c>
      <c r="L67" s="45" t="s">
        <v>52</v>
      </c>
      <c r="M67" s="56" t="s">
        <v>47</v>
      </c>
      <c r="N67" s="133">
        <v>6</v>
      </c>
      <c r="O67" s="53"/>
      <c r="P67" s="53"/>
      <c r="Q67" s="53"/>
      <c r="R67" s="53"/>
      <c r="S67" s="52">
        <f>+(982+774+529+455+506+499+521+490+444)/1000</f>
        <v>5.2</v>
      </c>
      <c r="T67" s="52"/>
      <c r="U67" s="52"/>
      <c r="V67" s="52"/>
      <c r="W67" s="52"/>
      <c r="X67" s="55">
        <f t="shared" si="6"/>
        <v>5.2</v>
      </c>
      <c r="Y67" s="43"/>
    </row>
    <row r="68" spans="1:25" x14ac:dyDescent="0.2">
      <c r="A68" s="48" t="s">
        <v>273</v>
      </c>
      <c r="B68" s="48" t="s">
        <v>175</v>
      </c>
      <c r="C68" s="129" t="s">
        <v>261</v>
      </c>
      <c r="D68" s="50" t="s">
        <v>213</v>
      </c>
      <c r="E68" s="130">
        <v>31310</v>
      </c>
      <c r="F68" s="131" t="s">
        <v>162</v>
      </c>
      <c r="G68" s="48" t="s">
        <v>50</v>
      </c>
      <c r="H68" s="126">
        <v>23355282126990</v>
      </c>
      <c r="I68" s="51">
        <v>44926</v>
      </c>
      <c r="J68" s="46">
        <f t="shared" si="5"/>
        <v>9.9450000000000003</v>
      </c>
      <c r="K68" s="132" t="s">
        <v>264</v>
      </c>
      <c r="L68" s="45" t="s">
        <v>52</v>
      </c>
      <c r="M68" s="56" t="s">
        <v>47</v>
      </c>
      <c r="N68" s="134">
        <v>6</v>
      </c>
      <c r="O68" s="59"/>
      <c r="P68" s="59"/>
      <c r="Q68" s="59"/>
      <c r="R68" s="59"/>
      <c r="S68" s="52">
        <f>+(53+30+34+50+26+20+26+21)/1000</f>
        <v>0.26</v>
      </c>
      <c r="T68" s="52"/>
      <c r="U68" s="52"/>
      <c r="V68" s="58"/>
      <c r="W68" s="58"/>
      <c r="X68" s="55">
        <f t="shared" si="6"/>
        <v>0.26</v>
      </c>
      <c r="Y68" s="43"/>
    </row>
    <row r="69" spans="1:25" x14ac:dyDescent="0.2">
      <c r="A69" s="48" t="s">
        <v>273</v>
      </c>
      <c r="B69" s="48" t="s">
        <v>183</v>
      </c>
      <c r="C69" s="129" t="s">
        <v>261</v>
      </c>
      <c r="D69" s="50" t="s">
        <v>221</v>
      </c>
      <c r="E69" s="130">
        <v>31310</v>
      </c>
      <c r="F69" s="131" t="s">
        <v>162</v>
      </c>
      <c r="G69" s="48" t="s">
        <v>50</v>
      </c>
      <c r="H69" s="125">
        <v>23357018740459</v>
      </c>
      <c r="I69" s="51">
        <v>44926</v>
      </c>
      <c r="J69" s="46">
        <f t="shared" si="5"/>
        <v>9.9450000000000003</v>
      </c>
      <c r="K69" s="45" t="s">
        <v>264</v>
      </c>
      <c r="L69" s="45" t="s">
        <v>52</v>
      </c>
      <c r="M69" s="56" t="s">
        <v>47</v>
      </c>
      <c r="N69" s="133">
        <v>6</v>
      </c>
      <c r="O69" s="52"/>
      <c r="P69" s="52"/>
      <c r="Q69" s="52"/>
      <c r="R69" s="52"/>
      <c r="S69" s="52">
        <f>+(3972+1516+2378+3226+1352+2739)/1000</f>
        <v>15.183</v>
      </c>
      <c r="T69" s="52"/>
      <c r="U69" s="52"/>
      <c r="V69" s="52"/>
      <c r="W69" s="52"/>
      <c r="X69" s="55">
        <f t="shared" si="6"/>
        <v>15.183</v>
      </c>
      <c r="Y69" s="43"/>
    </row>
    <row r="70" spans="1:25" x14ac:dyDescent="0.2">
      <c r="A70" s="48" t="s">
        <v>273</v>
      </c>
      <c r="B70" s="48" t="s">
        <v>186</v>
      </c>
      <c r="C70" s="129" t="s">
        <v>261</v>
      </c>
      <c r="D70" s="128" t="s">
        <v>224</v>
      </c>
      <c r="E70" s="130">
        <v>31310</v>
      </c>
      <c r="F70" s="131" t="s">
        <v>162</v>
      </c>
      <c r="G70" s="48" t="s">
        <v>50</v>
      </c>
      <c r="H70" s="125">
        <v>23339507886698</v>
      </c>
      <c r="I70" s="51">
        <v>44926</v>
      </c>
      <c r="J70" s="46">
        <f t="shared" si="5"/>
        <v>9.9450000000000003</v>
      </c>
      <c r="K70" s="45" t="s">
        <v>264</v>
      </c>
      <c r="L70" s="45" t="s">
        <v>52</v>
      </c>
      <c r="M70" s="56" t="s">
        <v>47</v>
      </c>
      <c r="N70" s="133">
        <v>6</v>
      </c>
      <c r="O70" s="54"/>
      <c r="P70" s="53"/>
      <c r="Q70" s="53"/>
      <c r="R70" s="53"/>
      <c r="S70" s="52">
        <f>+(3534+2854+1216+1871+1784+1767+1784+1611+1329)/1000</f>
        <v>17.75</v>
      </c>
      <c r="T70" s="52"/>
      <c r="U70" s="52"/>
      <c r="V70" s="42"/>
      <c r="W70" s="42"/>
      <c r="X70" s="55">
        <f t="shared" si="6"/>
        <v>17.75</v>
      </c>
      <c r="Y70" s="43"/>
    </row>
    <row r="71" spans="1:25" x14ac:dyDescent="0.2">
      <c r="A71" s="48" t="s">
        <v>273</v>
      </c>
      <c r="B71" s="48" t="s">
        <v>187</v>
      </c>
      <c r="C71" s="129" t="s">
        <v>261</v>
      </c>
      <c r="D71" s="50" t="s">
        <v>225</v>
      </c>
      <c r="E71" s="130">
        <v>31310</v>
      </c>
      <c r="F71" s="131" t="s">
        <v>162</v>
      </c>
      <c r="G71" s="48" t="s">
        <v>50</v>
      </c>
      <c r="H71" s="125">
        <v>23306367510301</v>
      </c>
      <c r="I71" s="51">
        <v>44926</v>
      </c>
      <c r="J71" s="46">
        <f t="shared" si="5"/>
        <v>9.9450000000000003</v>
      </c>
      <c r="K71" s="45" t="s">
        <v>264</v>
      </c>
      <c r="L71" s="45" t="s">
        <v>52</v>
      </c>
      <c r="M71" s="56" t="s">
        <v>47</v>
      </c>
      <c r="N71" s="133">
        <v>6</v>
      </c>
      <c r="O71" s="54"/>
      <c r="P71" s="53"/>
      <c r="Q71" s="53"/>
      <c r="R71" s="53"/>
      <c r="S71" s="52">
        <f>+(1306+1349+1009+313+1188+1220)/1000</f>
        <v>6.3849999999999998</v>
      </c>
      <c r="T71" s="52"/>
      <c r="U71" s="52"/>
      <c r="V71" s="52"/>
      <c r="W71" s="52"/>
      <c r="X71" s="55">
        <f t="shared" si="6"/>
        <v>6.3849999999999998</v>
      </c>
      <c r="Y71" s="43"/>
    </row>
    <row r="72" spans="1:25" x14ac:dyDescent="0.2">
      <c r="A72" s="48" t="s">
        <v>273</v>
      </c>
      <c r="B72" s="48" t="s">
        <v>190</v>
      </c>
      <c r="C72" s="129" t="s">
        <v>261</v>
      </c>
      <c r="D72" s="50" t="s">
        <v>228</v>
      </c>
      <c r="E72" s="130">
        <v>31310</v>
      </c>
      <c r="F72" s="131" t="s">
        <v>162</v>
      </c>
      <c r="G72" s="48" t="s">
        <v>50</v>
      </c>
      <c r="H72" s="47">
        <v>23354703255558</v>
      </c>
      <c r="I72" s="51">
        <v>44926</v>
      </c>
      <c r="J72" s="46">
        <f t="shared" si="5"/>
        <v>9.9450000000000003</v>
      </c>
      <c r="K72" s="45" t="s">
        <v>264</v>
      </c>
      <c r="L72" s="45" t="s">
        <v>52</v>
      </c>
      <c r="M72" s="56" t="s">
        <v>47</v>
      </c>
      <c r="N72" s="133">
        <v>6</v>
      </c>
      <c r="O72" s="53"/>
      <c r="P72" s="53"/>
      <c r="Q72" s="53"/>
      <c r="R72" s="53"/>
      <c r="S72" s="52">
        <f>+(2563+2216+1718+1303+1188+1218+1289+1171+1046)/1000</f>
        <v>13.712</v>
      </c>
      <c r="T72" s="42"/>
      <c r="U72" s="42"/>
      <c r="V72" s="42"/>
      <c r="W72" s="42"/>
      <c r="X72" s="55">
        <f t="shared" si="6"/>
        <v>13.712</v>
      </c>
      <c r="Y72" s="43"/>
    </row>
    <row r="73" spans="1:25" x14ac:dyDescent="0.2">
      <c r="A73" s="48" t="s">
        <v>273</v>
      </c>
      <c r="B73" s="48" t="s">
        <v>192</v>
      </c>
      <c r="C73" s="129" t="s">
        <v>261</v>
      </c>
      <c r="D73" s="50" t="s">
        <v>230</v>
      </c>
      <c r="E73" s="130">
        <v>31310</v>
      </c>
      <c r="F73" s="131" t="s">
        <v>162</v>
      </c>
      <c r="G73" s="48" t="s">
        <v>50</v>
      </c>
      <c r="H73" s="47">
        <v>23399855209160</v>
      </c>
      <c r="I73" s="51">
        <v>44926</v>
      </c>
      <c r="J73" s="46">
        <f t="shared" si="5"/>
        <v>9.9450000000000003</v>
      </c>
      <c r="K73" s="45" t="s">
        <v>264</v>
      </c>
      <c r="L73" s="45" t="s">
        <v>52</v>
      </c>
      <c r="M73" s="56" t="s">
        <v>47</v>
      </c>
      <c r="N73" s="133">
        <v>6</v>
      </c>
      <c r="O73" s="48"/>
      <c r="P73" s="48"/>
      <c r="Q73" s="48"/>
      <c r="R73" s="48"/>
      <c r="S73" s="52">
        <f>48*0.012</f>
        <v>0.57600000000000007</v>
      </c>
      <c r="T73" s="42"/>
      <c r="U73" s="42"/>
      <c r="V73" s="42"/>
      <c r="W73" s="42"/>
      <c r="X73" s="55">
        <f t="shared" si="6"/>
        <v>0.57600000000000007</v>
      </c>
      <c r="Y73" s="43"/>
    </row>
    <row r="74" spans="1:25" x14ac:dyDescent="0.2">
      <c r="A74" s="48" t="s">
        <v>273</v>
      </c>
      <c r="B74" s="48" t="s">
        <v>196</v>
      </c>
      <c r="C74" s="129" t="s">
        <v>261</v>
      </c>
      <c r="D74" s="50" t="s">
        <v>220</v>
      </c>
      <c r="E74" s="130">
        <v>31310</v>
      </c>
      <c r="F74" s="131" t="s">
        <v>162</v>
      </c>
      <c r="G74" s="48" t="s">
        <v>50</v>
      </c>
      <c r="H74" s="47">
        <v>23367872575509</v>
      </c>
      <c r="I74" s="51">
        <v>44926</v>
      </c>
      <c r="J74" s="46">
        <f t="shared" si="5"/>
        <v>9.9450000000000003</v>
      </c>
      <c r="K74" s="45" t="s">
        <v>264</v>
      </c>
      <c r="L74" s="45" t="s">
        <v>52</v>
      </c>
      <c r="M74" s="56" t="s">
        <v>47</v>
      </c>
      <c r="N74" s="133">
        <v>6</v>
      </c>
      <c r="O74" s="48"/>
      <c r="P74" s="48"/>
      <c r="Q74" s="48"/>
      <c r="R74" s="48"/>
      <c r="S74" s="52">
        <f>+(1331+1080+507+1159+689+693+708+658+543)/1000</f>
        <v>7.3680000000000003</v>
      </c>
      <c r="T74" s="42"/>
      <c r="U74" s="42"/>
      <c r="V74" s="42"/>
      <c r="W74" s="42"/>
      <c r="X74" s="55">
        <f t="shared" si="6"/>
        <v>7.3680000000000003</v>
      </c>
      <c r="Y74" s="43"/>
    </row>
    <row r="75" spans="1:25" x14ac:dyDescent="0.2">
      <c r="A75" s="48" t="s">
        <v>273</v>
      </c>
      <c r="B75" s="48" t="s">
        <v>197</v>
      </c>
      <c r="C75" s="129" t="s">
        <v>261</v>
      </c>
      <c r="D75" s="50" t="s">
        <v>234</v>
      </c>
      <c r="E75" s="130">
        <v>31310</v>
      </c>
      <c r="F75" s="131" t="s">
        <v>162</v>
      </c>
      <c r="G75" s="48" t="s">
        <v>50</v>
      </c>
      <c r="H75" s="47">
        <v>23388277785216</v>
      </c>
      <c r="I75" s="51">
        <v>44926</v>
      </c>
      <c r="J75" s="46">
        <f t="shared" si="5"/>
        <v>9.9450000000000003</v>
      </c>
      <c r="K75" s="45" t="s">
        <v>264</v>
      </c>
      <c r="L75" s="45" t="s">
        <v>52</v>
      </c>
      <c r="M75" s="56" t="s">
        <v>47</v>
      </c>
      <c r="N75" s="133">
        <v>6</v>
      </c>
      <c r="O75" s="48"/>
      <c r="P75" s="48"/>
      <c r="Q75" s="48"/>
      <c r="R75" s="48"/>
      <c r="S75" s="52">
        <f>+(1690+695+1268+919+1011)/1000</f>
        <v>5.5830000000000002</v>
      </c>
      <c r="T75" s="42"/>
      <c r="U75" s="42"/>
      <c r="V75" s="42"/>
      <c r="W75" s="42"/>
      <c r="X75" s="55">
        <f t="shared" si="6"/>
        <v>5.5830000000000002</v>
      </c>
      <c r="Y75" s="43"/>
    </row>
    <row r="76" spans="1:25" x14ac:dyDescent="0.2">
      <c r="A76" s="48" t="s">
        <v>273</v>
      </c>
      <c r="B76" s="48" t="s">
        <v>178</v>
      </c>
      <c r="C76" s="129" t="s">
        <v>261</v>
      </c>
      <c r="D76" s="50" t="s">
        <v>216</v>
      </c>
      <c r="E76" s="130">
        <v>31310</v>
      </c>
      <c r="F76" s="131" t="s">
        <v>162</v>
      </c>
      <c r="G76" s="48" t="s">
        <v>50</v>
      </c>
      <c r="H76" s="126">
        <v>23391751012407</v>
      </c>
      <c r="I76" s="51">
        <v>44926</v>
      </c>
      <c r="J76" s="46">
        <f t="shared" si="5"/>
        <v>9.9450000000000003</v>
      </c>
      <c r="K76" s="132" t="s">
        <v>264</v>
      </c>
      <c r="L76" s="45" t="s">
        <v>52</v>
      </c>
      <c r="M76" s="56" t="s">
        <v>47</v>
      </c>
      <c r="N76" s="133">
        <v>9</v>
      </c>
      <c r="O76" s="53"/>
      <c r="P76" s="53"/>
      <c r="Q76" s="53"/>
      <c r="R76" s="53"/>
      <c r="S76" s="52">
        <f>+(1302+437+715+456+1052+238+452+463)/1000</f>
        <v>5.1150000000000002</v>
      </c>
      <c r="T76" s="52"/>
      <c r="U76" s="52"/>
      <c r="V76" s="52"/>
      <c r="W76" s="52"/>
      <c r="X76" s="55">
        <f t="shared" si="6"/>
        <v>5.1150000000000002</v>
      </c>
      <c r="Y76" s="43"/>
    </row>
    <row r="77" spans="1:25" x14ac:dyDescent="0.2">
      <c r="A77" s="48" t="s">
        <v>273</v>
      </c>
      <c r="B77" s="48" t="s">
        <v>200</v>
      </c>
      <c r="C77" s="129" t="s">
        <v>261</v>
      </c>
      <c r="D77" s="50" t="s">
        <v>237</v>
      </c>
      <c r="E77" s="130">
        <v>31310</v>
      </c>
      <c r="F77" s="131" t="s">
        <v>162</v>
      </c>
      <c r="G77" s="48" t="s">
        <v>50</v>
      </c>
      <c r="H77" s="47">
        <v>23316931909739</v>
      </c>
      <c r="I77" s="51">
        <v>44926</v>
      </c>
      <c r="J77" s="46">
        <f t="shared" si="5"/>
        <v>9.9450000000000003</v>
      </c>
      <c r="K77" s="45" t="s">
        <v>264</v>
      </c>
      <c r="L77" s="45" t="s">
        <v>52</v>
      </c>
      <c r="M77" s="56" t="s">
        <v>47</v>
      </c>
      <c r="N77" s="133">
        <v>9</v>
      </c>
      <c r="O77" s="48"/>
      <c r="P77" s="48"/>
      <c r="Q77" s="48"/>
      <c r="R77" s="48"/>
      <c r="S77" s="52">
        <f>+(2247+1941+1570+1040+1896+2045)/1000</f>
        <v>10.739000000000001</v>
      </c>
      <c r="T77" s="42"/>
      <c r="U77" s="42"/>
      <c r="V77" s="42"/>
      <c r="W77" s="42"/>
      <c r="X77" s="55">
        <f t="shared" si="6"/>
        <v>10.739000000000001</v>
      </c>
      <c r="Y77" s="43"/>
    </row>
    <row r="78" spans="1:25" x14ac:dyDescent="0.2">
      <c r="A78" s="48" t="s">
        <v>273</v>
      </c>
      <c r="B78" s="48" t="s">
        <v>173</v>
      </c>
      <c r="C78" s="129" t="s">
        <v>261</v>
      </c>
      <c r="D78" s="50" t="s">
        <v>208</v>
      </c>
      <c r="E78" s="130">
        <v>31310</v>
      </c>
      <c r="F78" s="131" t="s">
        <v>162</v>
      </c>
      <c r="G78" s="48" t="s">
        <v>50</v>
      </c>
      <c r="H78" s="125">
        <v>23364833501650</v>
      </c>
      <c r="I78" s="51">
        <v>44926</v>
      </c>
      <c r="J78" s="46">
        <f t="shared" si="5"/>
        <v>9.9450000000000003</v>
      </c>
      <c r="K78" s="132" t="s">
        <v>264</v>
      </c>
      <c r="L78" s="45" t="s">
        <v>52</v>
      </c>
      <c r="M78" s="56" t="s">
        <v>47</v>
      </c>
      <c r="N78" s="133">
        <v>18</v>
      </c>
      <c r="O78" s="53"/>
      <c r="P78" s="53"/>
      <c r="Q78" s="53"/>
      <c r="R78" s="53"/>
      <c r="S78" s="52">
        <f>+(-66+39+29+315+1+9+6+40+48+12)/1000</f>
        <v>0.433</v>
      </c>
      <c r="T78" s="52"/>
      <c r="U78" s="52"/>
      <c r="V78" s="52"/>
      <c r="W78" s="52"/>
      <c r="X78" s="55">
        <f t="shared" si="6"/>
        <v>0.433</v>
      </c>
      <c r="Y78" s="43"/>
    </row>
    <row r="79" spans="1:25" x14ac:dyDescent="0.2">
      <c r="A79" s="48" t="s">
        <v>273</v>
      </c>
      <c r="B79" s="48" t="s">
        <v>177</v>
      </c>
      <c r="C79" s="129" t="s">
        <v>261</v>
      </c>
      <c r="D79" s="50" t="s">
        <v>215</v>
      </c>
      <c r="E79" s="130">
        <v>31310</v>
      </c>
      <c r="F79" s="131" t="s">
        <v>162</v>
      </c>
      <c r="G79" s="48" t="s">
        <v>50</v>
      </c>
      <c r="H79" s="125">
        <v>23320984008224</v>
      </c>
      <c r="I79" s="51">
        <v>44926</v>
      </c>
      <c r="J79" s="46">
        <f t="shared" si="5"/>
        <v>9.9450000000000003</v>
      </c>
      <c r="K79" s="132" t="s">
        <v>264</v>
      </c>
      <c r="L79" s="45" t="s">
        <v>52</v>
      </c>
      <c r="M79" s="56" t="s">
        <v>47</v>
      </c>
      <c r="N79" s="134">
        <v>18</v>
      </c>
      <c r="O79" s="59"/>
      <c r="P79" s="59"/>
      <c r="Q79" s="59"/>
      <c r="R79" s="59"/>
      <c r="S79" s="52">
        <f>+(1915+1534+131+635+813+964+1109+816+682)/1000</f>
        <v>8.5990000000000002</v>
      </c>
      <c r="T79" s="52"/>
      <c r="U79" s="52"/>
      <c r="V79" s="58"/>
      <c r="W79" s="58"/>
      <c r="X79" s="55">
        <f t="shared" si="6"/>
        <v>8.5990000000000002</v>
      </c>
      <c r="Y79" s="43"/>
    </row>
    <row r="80" spans="1:25" x14ac:dyDescent="0.2">
      <c r="A80" s="48" t="s">
        <v>273</v>
      </c>
      <c r="B80" s="48" t="s">
        <v>179</v>
      </c>
      <c r="C80" s="129" t="s">
        <v>261</v>
      </c>
      <c r="D80" s="50" t="s">
        <v>217</v>
      </c>
      <c r="E80" s="130">
        <v>31310</v>
      </c>
      <c r="F80" s="131" t="s">
        <v>162</v>
      </c>
      <c r="G80" s="48" t="s">
        <v>50</v>
      </c>
      <c r="H80" s="125">
        <v>23315195296184</v>
      </c>
      <c r="I80" s="51">
        <v>44926</v>
      </c>
      <c r="J80" s="46">
        <f t="shared" si="5"/>
        <v>9.9450000000000003</v>
      </c>
      <c r="K80" s="45" t="s">
        <v>264</v>
      </c>
      <c r="L80" s="45" t="s">
        <v>52</v>
      </c>
      <c r="M80" s="56" t="s">
        <v>47</v>
      </c>
      <c r="N80" s="133">
        <v>18</v>
      </c>
      <c r="O80" s="53"/>
      <c r="P80" s="53"/>
      <c r="Q80" s="53"/>
      <c r="R80" s="53"/>
      <c r="S80" s="52">
        <f>+(-8597+1476+1194+3981+1979+2134)/1000</f>
        <v>2.1669999999999998</v>
      </c>
      <c r="T80" s="52"/>
      <c r="U80" s="52"/>
      <c r="V80" s="52"/>
      <c r="W80" s="52"/>
      <c r="X80" s="55">
        <f t="shared" si="6"/>
        <v>2.1669999999999998</v>
      </c>
    </row>
    <row r="81" spans="8:23" x14ac:dyDescent="0.2">
      <c r="H81" s="41"/>
      <c r="K81" s="41"/>
      <c r="L81" s="41"/>
      <c r="S81" s="42"/>
      <c r="T81" s="42"/>
      <c r="U81" s="42"/>
      <c r="V81" s="42"/>
      <c r="W81" s="42"/>
    </row>
    <row r="82" spans="8:23" x14ac:dyDescent="0.2">
      <c r="H82" s="41"/>
      <c r="K82" s="41"/>
      <c r="L82" s="41"/>
      <c r="S82" s="42"/>
      <c r="T82" s="42"/>
      <c r="U82" s="42"/>
      <c r="V82" s="42"/>
      <c r="W82" s="42"/>
    </row>
    <row r="83" spans="8:23" x14ac:dyDescent="0.2">
      <c r="H83" s="41"/>
      <c r="K83" s="41"/>
      <c r="L83" s="41"/>
      <c r="Q83" s="36" t="s">
        <v>274</v>
      </c>
      <c r="R83" s="36">
        <f>COUNTA(K8:K42)</f>
        <v>35</v>
      </c>
      <c r="S83" s="42">
        <f>SUM(S8:S42)</f>
        <v>163.82000000000002</v>
      </c>
      <c r="T83" s="42">
        <f>+T40</f>
        <v>3.3119999999999998</v>
      </c>
      <c r="U83" s="42">
        <f>+U40</f>
        <v>1.5449999999999999</v>
      </c>
      <c r="V83" s="42"/>
      <c r="W83" s="42"/>
    </row>
    <row r="84" spans="8:23" x14ac:dyDescent="0.2">
      <c r="H84" s="41"/>
      <c r="K84" s="41"/>
      <c r="L84" s="41"/>
      <c r="Q84" s="36" t="s">
        <v>275</v>
      </c>
      <c r="R84" s="36">
        <f>COUNTA(K43:K80)</f>
        <v>38</v>
      </c>
      <c r="S84" s="42">
        <f>SUM(S43:S80)</f>
        <v>234.92899999999995</v>
      </c>
      <c r="T84" s="42"/>
      <c r="U84" s="42"/>
      <c r="V84" s="42"/>
      <c r="W84" s="42"/>
    </row>
    <row r="85" spans="8:23" x14ac:dyDescent="0.2">
      <c r="H85" s="41"/>
      <c r="K85" s="41"/>
      <c r="L85" s="41"/>
      <c r="S85" s="42"/>
      <c r="T85" s="42"/>
      <c r="U85" s="42"/>
      <c r="V85" s="42"/>
      <c r="W85" s="42"/>
    </row>
    <row r="86" spans="8:23" x14ac:dyDescent="0.2">
      <c r="H86" s="41"/>
      <c r="K86" s="41"/>
      <c r="L86" s="41"/>
      <c r="S86" s="42"/>
      <c r="T86" s="42"/>
      <c r="U86" s="42"/>
      <c r="V86" s="42"/>
      <c r="W86" s="42"/>
    </row>
    <row r="87" spans="8:23" x14ac:dyDescent="0.2">
      <c r="H87" s="41"/>
      <c r="K87" s="41"/>
      <c r="L87" s="41"/>
      <c r="S87" s="42"/>
      <c r="T87" s="42"/>
      <c r="U87" s="42"/>
      <c r="V87" s="42"/>
      <c r="W87" s="42"/>
    </row>
    <row r="88" spans="8:23" x14ac:dyDescent="0.2">
      <c r="H88" s="41"/>
      <c r="K88" s="41"/>
      <c r="L88" s="41"/>
      <c r="S88" s="42"/>
      <c r="T88" s="42"/>
      <c r="U88" s="42"/>
      <c r="V88" s="42"/>
      <c r="W88" s="42"/>
    </row>
    <row r="89" spans="8:23" x14ac:dyDescent="0.2">
      <c r="H89" s="41"/>
      <c r="K89" s="41"/>
      <c r="L89" s="41"/>
      <c r="S89" s="42"/>
      <c r="T89" s="42"/>
      <c r="U89" s="42"/>
      <c r="V89" s="42"/>
      <c r="W89" s="42"/>
    </row>
    <row r="90" spans="8:23" x14ac:dyDescent="0.2">
      <c r="H90" s="41"/>
      <c r="K90" s="41"/>
      <c r="L90" s="41"/>
      <c r="S90" s="42"/>
      <c r="T90" s="42"/>
      <c r="U90" s="42"/>
      <c r="V90" s="42"/>
      <c r="W90" s="42"/>
    </row>
    <row r="91" spans="8:23" x14ac:dyDescent="0.2">
      <c r="H91" s="41"/>
      <c r="K91" s="41"/>
      <c r="L91" s="41"/>
      <c r="S91" s="42"/>
      <c r="T91" s="42"/>
      <c r="U91" s="42"/>
      <c r="V91" s="42"/>
      <c r="W91" s="42"/>
    </row>
    <row r="92" spans="8:23" x14ac:dyDescent="0.2">
      <c r="H92" s="41"/>
      <c r="K92" s="41"/>
      <c r="L92" s="41"/>
      <c r="S92" s="42"/>
      <c r="T92" s="42"/>
      <c r="U92" s="42"/>
      <c r="V92" s="42"/>
      <c r="W92" s="42"/>
    </row>
    <row r="93" spans="8:23" x14ac:dyDescent="0.2">
      <c r="H93" s="41"/>
      <c r="K93" s="41"/>
      <c r="L93" s="41"/>
      <c r="S93" s="42"/>
      <c r="T93" s="42"/>
      <c r="U93" s="42"/>
      <c r="V93" s="42"/>
      <c r="W93" s="42"/>
    </row>
    <row r="94" spans="8:23" x14ac:dyDescent="0.2">
      <c r="H94" s="41"/>
      <c r="K94" s="41"/>
      <c r="L94" s="41"/>
      <c r="S94" s="42"/>
      <c r="T94" s="42"/>
      <c r="U94" s="42"/>
      <c r="V94" s="42"/>
      <c r="W94" s="42"/>
    </row>
    <row r="95" spans="8:23" x14ac:dyDescent="0.2">
      <c r="H95" s="41"/>
      <c r="K95" s="41"/>
      <c r="L95" s="41"/>
      <c r="S95" s="42"/>
      <c r="T95" s="42"/>
      <c r="U95" s="42"/>
      <c r="V95" s="42"/>
      <c r="W95" s="42"/>
    </row>
    <row r="96" spans="8:23" x14ac:dyDescent="0.2">
      <c r="H96" s="41"/>
      <c r="K96" s="41"/>
      <c r="L96" s="41"/>
      <c r="S96" s="42"/>
      <c r="T96" s="42"/>
      <c r="U96" s="42"/>
      <c r="V96" s="42"/>
      <c r="W96" s="42"/>
    </row>
    <row r="97" spans="8:23" x14ac:dyDescent="0.2">
      <c r="H97" s="41"/>
      <c r="K97" s="41"/>
      <c r="L97" s="41"/>
      <c r="S97" s="42"/>
      <c r="T97" s="42"/>
      <c r="U97" s="42"/>
      <c r="V97" s="42"/>
      <c r="W97" s="42"/>
    </row>
    <row r="98" spans="8:23" x14ac:dyDescent="0.2">
      <c r="H98" s="41"/>
      <c r="K98" s="41"/>
      <c r="L98" s="41"/>
      <c r="S98" s="42"/>
      <c r="T98" s="42"/>
      <c r="U98" s="42"/>
      <c r="V98" s="42"/>
      <c r="W98" s="42"/>
    </row>
    <row r="99" spans="8:23" x14ac:dyDescent="0.2">
      <c r="H99" s="41"/>
      <c r="K99" s="41"/>
      <c r="L99" s="41"/>
      <c r="S99" s="42"/>
      <c r="T99" s="42"/>
      <c r="U99" s="42"/>
      <c r="V99" s="42"/>
      <c r="W99" s="42"/>
    </row>
    <row r="100" spans="8:23" x14ac:dyDescent="0.2">
      <c r="H100" s="41"/>
      <c r="K100" s="41"/>
      <c r="L100" s="41"/>
      <c r="S100" s="42"/>
      <c r="T100" s="42"/>
      <c r="U100" s="42"/>
      <c r="V100" s="42"/>
      <c r="W100" s="42"/>
    </row>
    <row r="101" spans="8:23" x14ac:dyDescent="0.2">
      <c r="H101" s="41"/>
      <c r="K101" s="41"/>
      <c r="L101" s="41"/>
      <c r="S101" s="42"/>
      <c r="T101" s="42"/>
      <c r="U101" s="42"/>
      <c r="V101" s="42"/>
      <c r="W101" s="42"/>
    </row>
    <row r="102" spans="8:23" x14ac:dyDescent="0.2">
      <c r="H102" s="41"/>
      <c r="K102" s="41"/>
      <c r="L102" s="41"/>
      <c r="S102" s="42"/>
      <c r="T102" s="42"/>
      <c r="U102" s="42"/>
      <c r="V102" s="42"/>
      <c r="W102" s="42"/>
    </row>
    <row r="103" spans="8:23" x14ac:dyDescent="0.2">
      <c r="H103" s="41"/>
      <c r="K103" s="41"/>
      <c r="L103" s="41"/>
      <c r="S103" s="42"/>
      <c r="T103" s="42"/>
      <c r="U103" s="42"/>
      <c r="V103" s="42"/>
      <c r="W103" s="42"/>
    </row>
    <row r="104" spans="8:23" x14ac:dyDescent="0.2">
      <c r="H104" s="41"/>
      <c r="K104" s="41"/>
      <c r="L104" s="41"/>
      <c r="S104" s="42"/>
      <c r="T104" s="42"/>
      <c r="U104" s="42"/>
      <c r="V104" s="42"/>
      <c r="W104" s="42"/>
    </row>
    <row r="105" spans="8:23" x14ac:dyDescent="0.2">
      <c r="H105" s="41"/>
      <c r="K105" s="41"/>
      <c r="L105" s="41"/>
      <c r="S105" s="42"/>
      <c r="T105" s="42"/>
      <c r="U105" s="42"/>
      <c r="V105" s="42"/>
      <c r="W105" s="42"/>
    </row>
    <row r="106" spans="8:23" x14ac:dyDescent="0.2">
      <c r="H106" s="41"/>
      <c r="K106" s="41"/>
      <c r="L106" s="41"/>
      <c r="S106" s="42"/>
      <c r="T106" s="42"/>
      <c r="U106" s="42"/>
      <c r="V106" s="42"/>
      <c r="W106" s="42"/>
    </row>
    <row r="107" spans="8:23" x14ac:dyDescent="0.2">
      <c r="H107" s="41"/>
      <c r="K107" s="41"/>
      <c r="L107" s="41"/>
      <c r="S107" s="42"/>
      <c r="T107" s="42"/>
      <c r="U107" s="42"/>
      <c r="V107" s="42"/>
      <c r="W107" s="42"/>
    </row>
    <row r="108" spans="8:23" x14ac:dyDescent="0.2">
      <c r="H108" s="41"/>
      <c r="K108" s="41"/>
      <c r="L108" s="41"/>
      <c r="S108" s="42"/>
      <c r="T108" s="42"/>
      <c r="U108" s="42"/>
      <c r="V108" s="42"/>
      <c r="W108" s="42"/>
    </row>
    <row r="109" spans="8:23" x14ac:dyDescent="0.2">
      <c r="H109" s="41"/>
      <c r="K109" s="41"/>
      <c r="L109" s="41"/>
      <c r="S109" s="42"/>
      <c r="T109" s="42"/>
      <c r="U109" s="42"/>
      <c r="V109" s="42"/>
      <c r="W109" s="42"/>
    </row>
    <row r="110" spans="8:23" x14ac:dyDescent="0.2">
      <c r="H110" s="41"/>
      <c r="K110" s="41"/>
      <c r="L110" s="41"/>
      <c r="S110" s="42"/>
      <c r="T110" s="42"/>
      <c r="U110" s="42"/>
      <c r="V110" s="42"/>
      <c r="W110" s="42"/>
    </row>
    <row r="111" spans="8:23" x14ac:dyDescent="0.2">
      <c r="H111" s="41"/>
      <c r="K111" s="41"/>
      <c r="L111" s="41"/>
      <c r="S111" s="42"/>
      <c r="T111" s="42"/>
      <c r="U111" s="42"/>
      <c r="V111" s="42"/>
      <c r="W111" s="42"/>
    </row>
    <row r="112" spans="8:23" x14ac:dyDescent="0.2">
      <c r="H112" s="41"/>
      <c r="K112" s="41"/>
      <c r="L112" s="41"/>
      <c r="S112" s="42"/>
      <c r="T112" s="42"/>
      <c r="U112" s="42"/>
      <c r="V112" s="42"/>
      <c r="W112" s="42"/>
    </row>
    <row r="113" spans="8:23" x14ac:dyDescent="0.2">
      <c r="H113" s="41"/>
      <c r="K113" s="41"/>
      <c r="L113" s="41"/>
      <c r="S113" s="42"/>
      <c r="T113" s="42"/>
      <c r="U113" s="42"/>
      <c r="V113" s="42"/>
      <c r="W113" s="42"/>
    </row>
    <row r="114" spans="8:23" x14ac:dyDescent="0.2">
      <c r="H114" s="41"/>
      <c r="K114" s="41"/>
      <c r="L114" s="41"/>
      <c r="S114" s="42"/>
      <c r="T114" s="42"/>
      <c r="U114" s="42"/>
      <c r="V114" s="42"/>
      <c r="W114" s="42"/>
    </row>
    <row r="115" spans="8:23" x14ac:dyDescent="0.2">
      <c r="H115" s="41"/>
      <c r="K115" s="41"/>
      <c r="L115" s="41"/>
      <c r="S115" s="42"/>
      <c r="T115" s="42"/>
      <c r="U115" s="42"/>
      <c r="V115" s="42"/>
      <c r="W115" s="42"/>
    </row>
    <row r="116" spans="8:23" x14ac:dyDescent="0.2">
      <c r="H116" s="41"/>
      <c r="K116" s="41"/>
      <c r="L116" s="41"/>
      <c r="S116" s="42"/>
      <c r="T116" s="42"/>
      <c r="U116" s="42"/>
      <c r="V116" s="42"/>
      <c r="W116" s="42"/>
    </row>
    <row r="117" spans="8:23" x14ac:dyDescent="0.2">
      <c r="H117" s="41"/>
      <c r="K117" s="41"/>
      <c r="L117" s="41"/>
      <c r="S117" s="42"/>
      <c r="T117" s="42"/>
      <c r="U117" s="42"/>
      <c r="V117" s="42"/>
      <c r="W117" s="42"/>
    </row>
    <row r="118" spans="8:23" x14ac:dyDescent="0.2">
      <c r="H118" s="41"/>
      <c r="K118" s="41"/>
      <c r="L118" s="41"/>
      <c r="S118" s="42"/>
      <c r="T118" s="42"/>
      <c r="U118" s="42"/>
      <c r="V118" s="42"/>
      <c r="W118" s="42"/>
    </row>
    <row r="119" spans="8:23" x14ac:dyDescent="0.2">
      <c r="H119" s="41"/>
      <c r="K119" s="41"/>
      <c r="L119" s="41"/>
      <c r="S119" s="42"/>
      <c r="T119" s="42"/>
      <c r="U119" s="42"/>
      <c r="V119" s="42"/>
      <c r="W119" s="42"/>
    </row>
    <row r="120" spans="8:23" x14ac:dyDescent="0.2">
      <c r="H120" s="41"/>
      <c r="K120" s="41"/>
      <c r="L120" s="41"/>
      <c r="S120" s="42"/>
      <c r="T120" s="42"/>
      <c r="U120" s="42"/>
      <c r="V120" s="42"/>
      <c r="W120" s="42"/>
    </row>
    <row r="121" spans="8:23" x14ac:dyDescent="0.2">
      <c r="H121" s="41"/>
      <c r="K121" s="41"/>
      <c r="L121" s="41"/>
      <c r="S121" s="42"/>
      <c r="T121" s="42"/>
      <c r="U121" s="42"/>
      <c r="V121" s="42"/>
      <c r="W121" s="42"/>
    </row>
    <row r="122" spans="8:23" x14ac:dyDescent="0.2">
      <c r="H122" s="41"/>
      <c r="K122" s="41"/>
      <c r="L122" s="41"/>
      <c r="S122" s="42"/>
      <c r="T122" s="42"/>
      <c r="U122" s="42"/>
      <c r="V122" s="42"/>
      <c r="W122" s="42"/>
    </row>
    <row r="123" spans="8:23" x14ac:dyDescent="0.2">
      <c r="H123" s="41"/>
      <c r="K123" s="41"/>
      <c r="L123" s="41"/>
      <c r="S123" s="42"/>
      <c r="T123" s="42"/>
      <c r="U123" s="42"/>
      <c r="V123" s="42"/>
      <c r="W123" s="42"/>
    </row>
    <row r="124" spans="8:23" x14ac:dyDescent="0.2">
      <c r="H124" s="41"/>
      <c r="K124" s="41"/>
      <c r="L124" s="41"/>
      <c r="S124" s="42"/>
      <c r="T124" s="42"/>
      <c r="U124" s="42"/>
      <c r="V124" s="42"/>
      <c r="W124" s="42"/>
    </row>
    <row r="125" spans="8:23" x14ac:dyDescent="0.2">
      <c r="H125" s="41"/>
      <c r="K125" s="41"/>
      <c r="L125" s="41"/>
      <c r="S125" s="42"/>
      <c r="T125" s="42"/>
      <c r="U125" s="42"/>
      <c r="V125" s="42"/>
      <c r="W125" s="42"/>
    </row>
    <row r="126" spans="8:23" x14ac:dyDescent="0.2">
      <c r="H126" s="41"/>
      <c r="K126" s="41"/>
      <c r="L126" s="41"/>
      <c r="S126" s="42"/>
      <c r="T126" s="42"/>
      <c r="U126" s="42"/>
      <c r="V126" s="42"/>
      <c r="W126" s="42"/>
    </row>
    <row r="127" spans="8:23" x14ac:dyDescent="0.2">
      <c r="H127" s="41"/>
      <c r="K127" s="41"/>
      <c r="L127" s="41"/>
      <c r="S127" s="42"/>
      <c r="T127" s="42"/>
      <c r="U127" s="42"/>
      <c r="V127" s="42"/>
      <c r="W127" s="42"/>
    </row>
    <row r="128" spans="8:23" x14ac:dyDescent="0.2">
      <c r="H128" s="41"/>
      <c r="K128" s="41"/>
      <c r="L128" s="41"/>
      <c r="S128" s="42"/>
      <c r="T128" s="42"/>
      <c r="U128" s="42"/>
      <c r="V128" s="42"/>
      <c r="W128" s="42"/>
    </row>
    <row r="129" spans="8:23" x14ac:dyDescent="0.2">
      <c r="H129" s="41"/>
      <c r="K129" s="41"/>
      <c r="L129" s="41"/>
      <c r="S129" s="42"/>
      <c r="T129" s="42"/>
      <c r="U129" s="42"/>
      <c r="V129" s="42"/>
      <c r="W129" s="42"/>
    </row>
    <row r="130" spans="8:23" x14ac:dyDescent="0.2">
      <c r="H130" s="41"/>
      <c r="K130" s="41"/>
      <c r="L130" s="41"/>
      <c r="S130" s="42"/>
      <c r="T130" s="42"/>
      <c r="U130" s="42"/>
      <c r="V130" s="42"/>
      <c r="W130" s="42"/>
    </row>
    <row r="131" spans="8:23" x14ac:dyDescent="0.2">
      <c r="H131" s="41"/>
      <c r="K131" s="41"/>
      <c r="L131" s="41"/>
      <c r="S131" s="42"/>
      <c r="T131" s="42"/>
      <c r="U131" s="42"/>
      <c r="V131" s="42"/>
      <c r="W131" s="42"/>
    </row>
    <row r="132" spans="8:23" x14ac:dyDescent="0.2">
      <c r="H132" s="41"/>
      <c r="K132" s="41"/>
      <c r="L132" s="41"/>
      <c r="S132" s="42"/>
      <c r="T132" s="42"/>
      <c r="U132" s="42"/>
      <c r="V132" s="42"/>
      <c r="W132" s="42"/>
    </row>
    <row r="133" spans="8:23" x14ac:dyDescent="0.2">
      <c r="H133" s="41"/>
      <c r="K133" s="41"/>
      <c r="L133" s="41"/>
      <c r="S133" s="42"/>
      <c r="T133" s="42"/>
      <c r="U133" s="42"/>
      <c r="V133" s="42"/>
      <c r="W133" s="42"/>
    </row>
    <row r="134" spans="8:23" x14ac:dyDescent="0.2">
      <c r="H134" s="41"/>
      <c r="K134" s="41"/>
      <c r="L134" s="41"/>
      <c r="S134" s="42"/>
      <c r="T134" s="42"/>
      <c r="U134" s="42"/>
      <c r="V134" s="42"/>
      <c r="W134" s="42"/>
    </row>
    <row r="135" spans="8:23" x14ac:dyDescent="0.2">
      <c r="H135" s="41"/>
      <c r="K135" s="41"/>
      <c r="L135" s="41"/>
      <c r="S135" s="42"/>
      <c r="T135" s="42"/>
      <c r="U135" s="42"/>
      <c r="V135" s="42"/>
      <c r="W135" s="42"/>
    </row>
    <row r="136" spans="8:23" x14ac:dyDescent="0.2">
      <c r="H136" s="41"/>
      <c r="K136" s="41"/>
      <c r="L136" s="41"/>
      <c r="S136" s="42"/>
      <c r="T136" s="42"/>
      <c r="U136" s="42"/>
      <c r="V136" s="42"/>
      <c r="W136" s="42"/>
    </row>
    <row r="137" spans="8:23" x14ac:dyDescent="0.2">
      <c r="H137" s="41"/>
      <c r="K137" s="41"/>
      <c r="L137" s="41"/>
      <c r="S137" s="42"/>
      <c r="T137" s="42"/>
      <c r="U137" s="42"/>
      <c r="V137" s="42"/>
      <c r="W137" s="42"/>
    </row>
    <row r="138" spans="8:23" x14ac:dyDescent="0.2">
      <c r="H138" s="41"/>
      <c r="K138" s="41"/>
      <c r="L138" s="41"/>
      <c r="S138" s="42"/>
      <c r="T138" s="42"/>
      <c r="U138" s="42"/>
      <c r="V138" s="42"/>
      <c r="W138" s="42"/>
    </row>
    <row r="139" spans="8:23" x14ac:dyDescent="0.2">
      <c r="H139" s="41"/>
      <c r="K139" s="41"/>
      <c r="L139" s="41"/>
      <c r="S139" s="42"/>
      <c r="T139" s="42"/>
      <c r="U139" s="42"/>
      <c r="V139" s="42"/>
      <c r="W139" s="42"/>
    </row>
    <row r="140" spans="8:23" x14ac:dyDescent="0.2">
      <c r="H140" s="41"/>
      <c r="K140" s="41"/>
      <c r="L140" s="41"/>
      <c r="S140" s="42"/>
      <c r="T140" s="42"/>
      <c r="U140" s="42"/>
      <c r="V140" s="42"/>
      <c r="W140" s="42"/>
    </row>
    <row r="141" spans="8:23" x14ac:dyDescent="0.2">
      <c r="H141" s="41"/>
      <c r="K141" s="41"/>
      <c r="L141" s="41"/>
      <c r="S141" s="42"/>
      <c r="T141" s="42"/>
      <c r="U141" s="42"/>
      <c r="V141" s="42"/>
      <c r="W141" s="42"/>
    </row>
    <row r="142" spans="8:23" x14ac:dyDescent="0.2">
      <c r="H142" s="41"/>
      <c r="K142" s="41"/>
      <c r="L142" s="41"/>
      <c r="S142" s="42"/>
      <c r="T142" s="42"/>
      <c r="U142" s="42"/>
      <c r="V142" s="42"/>
      <c r="W142" s="42"/>
    </row>
    <row r="143" spans="8:23" x14ac:dyDescent="0.2">
      <c r="H143" s="41"/>
      <c r="K143" s="41"/>
      <c r="L143" s="41"/>
      <c r="S143" s="42"/>
      <c r="T143" s="42"/>
      <c r="U143" s="42"/>
      <c r="V143" s="42"/>
      <c r="W143" s="42"/>
    </row>
    <row r="144" spans="8:23" x14ac:dyDescent="0.2">
      <c r="H144" s="41"/>
      <c r="K144" s="41"/>
      <c r="L144" s="41"/>
      <c r="S144" s="42"/>
      <c r="T144" s="42"/>
      <c r="U144" s="42"/>
      <c r="V144" s="42"/>
      <c r="W144" s="42"/>
    </row>
    <row r="145" spans="8:23" x14ac:dyDescent="0.2">
      <c r="H145" s="41"/>
      <c r="K145" s="41"/>
      <c r="L145" s="41"/>
      <c r="S145" s="42"/>
      <c r="T145" s="42"/>
      <c r="U145" s="42"/>
      <c r="V145" s="42"/>
      <c r="W145" s="42"/>
    </row>
    <row r="146" spans="8:23" x14ac:dyDescent="0.2">
      <c r="H146" s="41"/>
      <c r="K146" s="41"/>
      <c r="L146" s="41"/>
      <c r="S146" s="42"/>
      <c r="T146" s="42"/>
      <c r="U146" s="42"/>
      <c r="V146" s="42"/>
      <c r="W146" s="42"/>
    </row>
    <row r="147" spans="8:23" x14ac:dyDescent="0.2">
      <c r="H147" s="41"/>
      <c r="K147" s="41"/>
      <c r="L147" s="41"/>
      <c r="S147" s="42"/>
      <c r="T147" s="42"/>
      <c r="U147" s="42"/>
      <c r="V147" s="42"/>
      <c r="W147" s="42"/>
    </row>
    <row r="148" spans="8:23" x14ac:dyDescent="0.2">
      <c r="H148" s="41"/>
      <c r="K148" s="41"/>
      <c r="L148" s="41"/>
      <c r="S148" s="42"/>
      <c r="T148" s="42"/>
      <c r="U148" s="42"/>
      <c r="V148" s="42"/>
      <c r="W148" s="42"/>
    </row>
    <row r="149" spans="8:23" x14ac:dyDescent="0.2">
      <c r="H149" s="41"/>
      <c r="K149" s="41"/>
      <c r="L149" s="41"/>
      <c r="S149" s="42"/>
      <c r="T149" s="42"/>
      <c r="U149" s="42"/>
      <c r="V149" s="42"/>
      <c r="W149" s="42"/>
    </row>
    <row r="150" spans="8:23" x14ac:dyDescent="0.2">
      <c r="H150" s="41"/>
      <c r="K150" s="41"/>
      <c r="L150" s="41"/>
      <c r="S150" s="42"/>
      <c r="T150" s="42"/>
      <c r="U150" s="42"/>
      <c r="V150" s="42"/>
      <c r="W150" s="42"/>
    </row>
    <row r="151" spans="8:23" x14ac:dyDescent="0.2">
      <c r="H151" s="41"/>
      <c r="K151" s="41"/>
      <c r="L151" s="41"/>
      <c r="S151" s="42"/>
      <c r="T151" s="42"/>
      <c r="U151" s="42"/>
      <c r="V151" s="42"/>
      <c r="W151" s="42"/>
    </row>
    <row r="152" spans="8:23" x14ac:dyDescent="0.2">
      <c r="H152" s="41"/>
      <c r="K152" s="41"/>
      <c r="L152" s="41"/>
      <c r="S152" s="42"/>
      <c r="T152" s="42"/>
      <c r="U152" s="42"/>
      <c r="V152" s="42"/>
      <c r="W152" s="42"/>
    </row>
    <row r="153" spans="8:23" x14ac:dyDescent="0.2">
      <c r="H153" s="41"/>
      <c r="K153" s="41"/>
      <c r="L153" s="41"/>
      <c r="S153" s="42"/>
      <c r="T153" s="42"/>
      <c r="U153" s="42"/>
      <c r="V153" s="42"/>
      <c r="W153" s="42"/>
    </row>
    <row r="154" spans="8:23" x14ac:dyDescent="0.2">
      <c r="H154" s="41"/>
      <c r="K154" s="41"/>
      <c r="L154" s="41"/>
      <c r="S154" s="42"/>
      <c r="T154" s="42"/>
      <c r="U154" s="42"/>
      <c r="V154" s="42"/>
      <c r="W154" s="42"/>
    </row>
    <row r="155" spans="8:23" x14ac:dyDescent="0.2">
      <c r="H155" s="41"/>
      <c r="K155" s="41"/>
      <c r="L155" s="41"/>
      <c r="S155" s="42"/>
      <c r="T155" s="42"/>
      <c r="U155" s="42"/>
      <c r="V155" s="42"/>
      <c r="W155" s="42"/>
    </row>
    <row r="156" spans="8:23" x14ac:dyDescent="0.2">
      <c r="H156" s="41"/>
      <c r="K156" s="41"/>
      <c r="L156" s="41"/>
      <c r="S156" s="42"/>
      <c r="T156" s="42"/>
      <c r="U156" s="42"/>
      <c r="V156" s="42"/>
      <c r="W156" s="42"/>
    </row>
    <row r="157" spans="8:23" x14ac:dyDescent="0.2">
      <c r="H157" s="41"/>
      <c r="K157" s="41"/>
      <c r="L157" s="41"/>
      <c r="S157" s="42"/>
      <c r="T157" s="42"/>
      <c r="U157" s="42"/>
      <c r="V157" s="42"/>
      <c r="W157" s="42"/>
    </row>
    <row r="158" spans="8:23" x14ac:dyDescent="0.2">
      <c r="H158" s="41"/>
      <c r="K158" s="41"/>
      <c r="L158" s="41"/>
      <c r="S158" s="42"/>
      <c r="T158" s="42"/>
      <c r="U158" s="42"/>
      <c r="V158" s="42"/>
      <c r="W158" s="42"/>
    </row>
    <row r="159" spans="8:23" x14ac:dyDescent="0.2">
      <c r="H159" s="41"/>
      <c r="K159" s="41"/>
      <c r="L159" s="41"/>
      <c r="S159" s="42"/>
      <c r="T159" s="42"/>
      <c r="U159" s="42"/>
      <c r="V159" s="42"/>
      <c r="W159" s="42"/>
    </row>
    <row r="160" spans="8:23" x14ac:dyDescent="0.2">
      <c r="H160" s="41"/>
      <c r="K160" s="41"/>
      <c r="L160" s="41"/>
      <c r="S160" s="42"/>
      <c r="T160" s="42"/>
      <c r="U160" s="42"/>
      <c r="V160" s="42"/>
      <c r="W160" s="42"/>
    </row>
    <row r="161" spans="8:23" x14ac:dyDescent="0.2">
      <c r="H161" s="41"/>
      <c r="K161" s="41"/>
      <c r="L161" s="41"/>
      <c r="S161" s="42"/>
      <c r="T161" s="42"/>
      <c r="U161" s="42"/>
      <c r="V161" s="42"/>
      <c r="W161" s="42"/>
    </row>
    <row r="162" spans="8:23" x14ac:dyDescent="0.2">
      <c r="H162" s="41"/>
      <c r="K162" s="41"/>
      <c r="L162" s="41"/>
      <c r="S162" s="42"/>
      <c r="T162" s="42"/>
      <c r="U162" s="42"/>
      <c r="V162" s="42"/>
      <c r="W162" s="42"/>
    </row>
    <row r="163" spans="8:23" x14ac:dyDescent="0.2">
      <c r="H163" s="41"/>
      <c r="K163" s="41"/>
      <c r="L163" s="41"/>
      <c r="S163" s="42"/>
      <c r="T163" s="42"/>
      <c r="U163" s="42"/>
      <c r="V163" s="42"/>
      <c r="W163" s="42"/>
    </row>
    <row r="164" spans="8:23" x14ac:dyDescent="0.2">
      <c r="H164" s="41"/>
      <c r="K164" s="41"/>
      <c r="L164" s="41"/>
      <c r="S164" s="42"/>
      <c r="T164" s="42"/>
      <c r="U164" s="42"/>
      <c r="V164" s="42"/>
      <c r="W164" s="42"/>
    </row>
    <row r="165" spans="8:23" x14ac:dyDescent="0.2">
      <c r="H165" s="41"/>
      <c r="K165" s="41"/>
      <c r="L165" s="41"/>
      <c r="S165" s="42"/>
      <c r="T165" s="42"/>
      <c r="U165" s="42"/>
      <c r="V165" s="42"/>
      <c r="W165" s="42"/>
    </row>
    <row r="166" spans="8:23" x14ac:dyDescent="0.2">
      <c r="H166" s="41"/>
      <c r="K166" s="41"/>
      <c r="L166" s="41"/>
      <c r="S166" s="42"/>
      <c r="T166" s="42"/>
      <c r="U166" s="42"/>
      <c r="V166" s="42"/>
      <c r="W166" s="42"/>
    </row>
    <row r="167" spans="8:23" x14ac:dyDescent="0.2">
      <c r="H167" s="41"/>
      <c r="K167" s="41"/>
      <c r="L167" s="41"/>
      <c r="S167" s="42"/>
      <c r="T167" s="42"/>
      <c r="U167" s="42"/>
      <c r="V167" s="42"/>
      <c r="W167" s="42"/>
    </row>
    <row r="168" spans="8:23" x14ac:dyDescent="0.2">
      <c r="H168" s="41"/>
      <c r="K168" s="41"/>
      <c r="L168" s="41"/>
      <c r="S168" s="42"/>
      <c r="T168" s="42"/>
      <c r="U168" s="42"/>
      <c r="V168" s="42"/>
      <c r="W168" s="42"/>
    </row>
    <row r="169" spans="8:23" x14ac:dyDescent="0.2">
      <c r="H169" s="41"/>
      <c r="K169" s="41"/>
      <c r="L169" s="41"/>
      <c r="S169" s="42"/>
      <c r="T169" s="42"/>
      <c r="U169" s="42"/>
      <c r="V169" s="42"/>
      <c r="W169" s="42"/>
    </row>
    <row r="170" spans="8:23" x14ac:dyDescent="0.2">
      <c r="H170" s="41"/>
      <c r="K170" s="41"/>
      <c r="L170" s="41"/>
      <c r="S170" s="42"/>
      <c r="T170" s="42"/>
      <c r="U170" s="42"/>
      <c r="V170" s="42"/>
      <c r="W170" s="42"/>
    </row>
    <row r="171" spans="8:23" x14ac:dyDescent="0.2">
      <c r="H171" s="41"/>
      <c r="K171" s="41"/>
      <c r="L171" s="41"/>
      <c r="S171" s="42"/>
      <c r="T171" s="42"/>
      <c r="U171" s="42"/>
      <c r="V171" s="42"/>
      <c r="W171" s="42"/>
    </row>
    <row r="172" spans="8:23" x14ac:dyDescent="0.2">
      <c r="H172" s="41"/>
      <c r="K172" s="41"/>
      <c r="L172" s="41"/>
      <c r="S172" s="42"/>
      <c r="T172" s="42"/>
      <c r="U172" s="42"/>
      <c r="V172" s="42"/>
      <c r="W172" s="42"/>
    </row>
    <row r="173" spans="8:23" x14ac:dyDescent="0.2">
      <c r="H173" s="41"/>
      <c r="K173" s="41"/>
      <c r="L173" s="41"/>
      <c r="S173" s="42"/>
      <c r="T173" s="42"/>
      <c r="U173" s="42"/>
      <c r="V173" s="42"/>
      <c r="W173" s="42"/>
    </row>
    <row r="174" spans="8:23" x14ac:dyDescent="0.2">
      <c r="H174" s="41"/>
      <c r="K174" s="41"/>
      <c r="L174" s="41"/>
      <c r="S174" s="42"/>
      <c r="T174" s="42"/>
      <c r="U174" s="42"/>
      <c r="V174" s="42"/>
      <c r="W174" s="42"/>
    </row>
    <row r="175" spans="8:23" x14ac:dyDescent="0.2">
      <c r="H175" s="41"/>
      <c r="K175" s="41"/>
      <c r="L175" s="41"/>
      <c r="S175" s="42"/>
      <c r="T175" s="42"/>
      <c r="U175" s="42"/>
      <c r="V175" s="42"/>
      <c r="W175" s="42"/>
    </row>
    <row r="176" spans="8:23" x14ac:dyDescent="0.2">
      <c r="H176" s="41"/>
      <c r="K176" s="41"/>
      <c r="L176" s="41"/>
      <c r="S176" s="42"/>
      <c r="T176" s="42"/>
      <c r="U176" s="42"/>
      <c r="V176" s="42"/>
      <c r="W176" s="42"/>
    </row>
    <row r="177" spans="8:23" x14ac:dyDescent="0.2">
      <c r="H177" s="41"/>
      <c r="K177" s="41"/>
      <c r="L177" s="41"/>
      <c r="S177" s="42"/>
      <c r="T177" s="42"/>
      <c r="U177" s="42"/>
      <c r="V177" s="42"/>
      <c r="W177" s="42"/>
    </row>
    <row r="178" spans="8:23" x14ac:dyDescent="0.2">
      <c r="H178" s="41"/>
      <c r="K178" s="41"/>
      <c r="L178" s="41"/>
      <c r="S178" s="42"/>
      <c r="T178" s="42"/>
      <c r="U178" s="42"/>
      <c r="V178" s="42"/>
      <c r="W178" s="42"/>
    </row>
    <row r="179" spans="8:23" x14ac:dyDescent="0.2">
      <c r="H179" s="41"/>
      <c r="K179" s="41"/>
      <c r="L179" s="41"/>
      <c r="S179" s="42"/>
      <c r="T179" s="42"/>
      <c r="U179" s="42"/>
      <c r="V179" s="42"/>
      <c r="W179" s="42"/>
    </row>
    <row r="180" spans="8:23" x14ac:dyDescent="0.2">
      <c r="H180" s="41"/>
      <c r="K180" s="41"/>
      <c r="L180" s="41"/>
      <c r="S180" s="42"/>
      <c r="T180" s="42"/>
      <c r="U180" s="42"/>
      <c r="V180" s="42"/>
      <c r="W180" s="42"/>
    </row>
    <row r="181" spans="8:23" x14ac:dyDescent="0.2">
      <c r="H181" s="41"/>
      <c r="K181" s="41"/>
      <c r="L181" s="41"/>
      <c r="S181" s="42"/>
      <c r="T181" s="42"/>
      <c r="U181" s="42"/>
      <c r="V181" s="42"/>
      <c r="W181" s="42"/>
    </row>
    <row r="182" spans="8:23" x14ac:dyDescent="0.2">
      <c r="H182" s="41"/>
      <c r="K182" s="41"/>
      <c r="L182" s="41"/>
      <c r="S182" s="42"/>
      <c r="T182" s="42"/>
      <c r="U182" s="42"/>
      <c r="V182" s="42"/>
      <c r="W182" s="42"/>
    </row>
    <row r="183" spans="8:23" x14ac:dyDescent="0.2">
      <c r="H183" s="41"/>
      <c r="K183" s="41"/>
      <c r="L183" s="41"/>
      <c r="S183" s="42"/>
      <c r="T183" s="42"/>
      <c r="U183" s="42"/>
      <c r="V183" s="42"/>
      <c r="W183" s="42"/>
    </row>
    <row r="184" spans="8:23" x14ac:dyDescent="0.2">
      <c r="H184" s="41"/>
      <c r="K184" s="41"/>
      <c r="L184" s="41"/>
      <c r="S184" s="42"/>
      <c r="T184" s="42"/>
      <c r="U184" s="42"/>
      <c r="V184" s="42"/>
      <c r="W184" s="42"/>
    </row>
    <row r="185" spans="8:23" x14ac:dyDescent="0.2">
      <c r="H185" s="41"/>
      <c r="K185" s="41"/>
      <c r="L185" s="41"/>
      <c r="S185" s="42"/>
      <c r="T185" s="42"/>
      <c r="U185" s="42"/>
      <c r="V185" s="42"/>
      <c r="W185" s="42"/>
    </row>
    <row r="186" spans="8:23" x14ac:dyDescent="0.2">
      <c r="H186" s="41"/>
      <c r="K186" s="41"/>
      <c r="L186" s="41"/>
      <c r="S186" s="42"/>
      <c r="T186" s="42"/>
      <c r="U186" s="42"/>
      <c r="V186" s="42"/>
      <c r="W186" s="42"/>
    </row>
    <row r="187" spans="8:23" x14ac:dyDescent="0.2">
      <c r="H187" s="41"/>
      <c r="K187" s="41"/>
      <c r="L187" s="41"/>
      <c r="S187" s="42"/>
      <c r="T187" s="42"/>
      <c r="U187" s="42"/>
      <c r="V187" s="42"/>
      <c r="W187" s="42"/>
    </row>
    <row r="188" spans="8:23" x14ac:dyDescent="0.2">
      <c r="H188" s="41"/>
      <c r="K188" s="41"/>
      <c r="L188" s="41"/>
      <c r="S188" s="42"/>
      <c r="T188" s="42"/>
      <c r="U188" s="42"/>
      <c r="V188" s="42"/>
      <c r="W188" s="42"/>
    </row>
    <row r="189" spans="8:23" x14ac:dyDescent="0.2">
      <c r="H189" s="41"/>
      <c r="K189" s="41"/>
      <c r="L189" s="41"/>
      <c r="S189" s="42"/>
      <c r="T189" s="42"/>
      <c r="U189" s="42"/>
      <c r="V189" s="42"/>
      <c r="W189" s="42"/>
    </row>
    <row r="190" spans="8:23" x14ac:dyDescent="0.2">
      <c r="H190" s="41"/>
      <c r="K190" s="41"/>
      <c r="L190" s="41"/>
      <c r="S190" s="42"/>
      <c r="T190" s="42"/>
      <c r="U190" s="42"/>
      <c r="V190" s="42"/>
      <c r="W190" s="42"/>
    </row>
    <row r="191" spans="8:23" x14ac:dyDescent="0.2">
      <c r="H191" s="41"/>
      <c r="K191" s="41"/>
      <c r="L191" s="41"/>
      <c r="S191" s="42"/>
      <c r="T191" s="42"/>
      <c r="U191" s="42"/>
      <c r="V191" s="42"/>
      <c r="W191" s="42"/>
    </row>
    <row r="192" spans="8:23" x14ac:dyDescent="0.2">
      <c r="H192" s="41"/>
      <c r="K192" s="41"/>
      <c r="L192" s="41"/>
      <c r="S192" s="42"/>
      <c r="T192" s="42"/>
      <c r="U192" s="42"/>
      <c r="V192" s="42"/>
      <c r="W192" s="42"/>
    </row>
    <row r="193" spans="8:23" x14ac:dyDescent="0.2">
      <c r="H193" s="41"/>
      <c r="K193" s="41"/>
      <c r="L193" s="41"/>
      <c r="S193" s="42"/>
      <c r="T193" s="42"/>
      <c r="U193" s="42"/>
      <c r="V193" s="42"/>
      <c r="W193" s="42"/>
    </row>
    <row r="194" spans="8:23" x14ac:dyDescent="0.2">
      <c r="H194" s="41"/>
      <c r="K194" s="41"/>
      <c r="L194" s="41"/>
      <c r="S194" s="42"/>
      <c r="T194" s="42"/>
      <c r="U194" s="42"/>
      <c r="V194" s="42"/>
      <c r="W194" s="42"/>
    </row>
    <row r="195" spans="8:23" x14ac:dyDescent="0.2">
      <c r="H195" s="41"/>
      <c r="K195" s="41"/>
      <c r="L195" s="41"/>
      <c r="S195" s="42"/>
      <c r="T195" s="42"/>
      <c r="U195" s="42"/>
      <c r="V195" s="42"/>
      <c r="W195" s="42"/>
    </row>
    <row r="196" spans="8:23" x14ac:dyDescent="0.2">
      <c r="H196" s="41"/>
      <c r="K196" s="41"/>
      <c r="L196" s="41"/>
      <c r="S196" s="42"/>
      <c r="T196" s="42"/>
      <c r="U196" s="42"/>
      <c r="V196" s="42"/>
      <c r="W196" s="42"/>
    </row>
    <row r="197" spans="8:23" x14ac:dyDescent="0.2">
      <c r="H197" s="41"/>
      <c r="K197" s="41"/>
      <c r="L197" s="41"/>
      <c r="S197" s="42"/>
      <c r="T197" s="42"/>
      <c r="U197" s="42"/>
      <c r="V197" s="42"/>
      <c r="W197" s="42"/>
    </row>
    <row r="198" spans="8:23" x14ac:dyDescent="0.2">
      <c r="H198" s="41"/>
      <c r="K198" s="41"/>
      <c r="L198" s="41"/>
      <c r="S198" s="42"/>
      <c r="T198" s="42"/>
      <c r="U198" s="42"/>
      <c r="V198" s="42"/>
      <c r="W198" s="42"/>
    </row>
    <row r="199" spans="8:23" x14ac:dyDescent="0.2">
      <c r="H199" s="41"/>
      <c r="K199" s="41"/>
      <c r="L199" s="41"/>
      <c r="S199" s="42"/>
      <c r="T199" s="42"/>
      <c r="U199" s="42"/>
      <c r="V199" s="42"/>
      <c r="W199" s="42"/>
    </row>
    <row r="200" spans="8:23" x14ac:dyDescent="0.2">
      <c r="H200" s="41"/>
      <c r="K200" s="41"/>
      <c r="L200" s="41"/>
      <c r="S200" s="42"/>
      <c r="T200" s="42"/>
      <c r="U200" s="42"/>
      <c r="V200" s="42"/>
      <c r="W200" s="42"/>
    </row>
    <row r="201" spans="8:23" x14ac:dyDescent="0.2">
      <c r="H201" s="41"/>
      <c r="K201" s="41"/>
      <c r="L201" s="41"/>
      <c r="S201" s="42"/>
      <c r="T201" s="42"/>
      <c r="U201" s="42"/>
      <c r="V201" s="42"/>
      <c r="W201" s="42"/>
    </row>
    <row r="202" spans="8:23" x14ac:dyDescent="0.2">
      <c r="H202" s="41"/>
      <c r="K202" s="41"/>
      <c r="L202" s="41"/>
      <c r="S202" s="42"/>
      <c r="T202" s="42"/>
      <c r="U202" s="42"/>
      <c r="V202" s="42"/>
      <c r="W202" s="42"/>
    </row>
    <row r="203" spans="8:23" x14ac:dyDescent="0.2">
      <c r="H203" s="41"/>
      <c r="K203" s="41"/>
      <c r="L203" s="41"/>
      <c r="S203" s="42"/>
      <c r="T203" s="42"/>
      <c r="U203" s="42"/>
      <c r="V203" s="42"/>
      <c r="W203" s="42"/>
    </row>
    <row r="204" spans="8:23" x14ac:dyDescent="0.2">
      <c r="H204" s="41"/>
      <c r="K204" s="41"/>
      <c r="L204" s="41"/>
      <c r="S204" s="42"/>
      <c r="T204" s="42"/>
      <c r="U204" s="42"/>
      <c r="V204" s="42"/>
      <c r="W204" s="42"/>
    </row>
    <row r="205" spans="8:23" x14ac:dyDescent="0.2">
      <c r="H205" s="41"/>
      <c r="K205" s="41"/>
      <c r="L205" s="41"/>
      <c r="S205" s="42"/>
      <c r="T205" s="42"/>
      <c r="U205" s="42"/>
      <c r="V205" s="42"/>
      <c r="W205" s="42"/>
    </row>
    <row r="206" spans="8:23" x14ac:dyDescent="0.2">
      <c r="H206" s="41"/>
      <c r="K206" s="41"/>
      <c r="L206" s="41"/>
      <c r="S206" s="42"/>
      <c r="T206" s="42"/>
      <c r="U206" s="42"/>
      <c r="V206" s="42"/>
      <c r="W206" s="42"/>
    </row>
    <row r="207" spans="8:23" x14ac:dyDescent="0.2">
      <c r="H207" s="41"/>
      <c r="K207" s="41"/>
      <c r="L207" s="41"/>
      <c r="S207" s="42"/>
      <c r="T207" s="42"/>
      <c r="U207" s="42"/>
      <c r="V207" s="42"/>
      <c r="W207" s="42"/>
    </row>
    <row r="208" spans="8:23" x14ac:dyDescent="0.2">
      <c r="H208" s="41"/>
      <c r="K208" s="41"/>
      <c r="L208" s="41"/>
      <c r="S208" s="42"/>
      <c r="T208" s="42"/>
      <c r="U208" s="42"/>
      <c r="V208" s="42"/>
      <c r="W208" s="42"/>
    </row>
    <row r="209" spans="8:23" x14ac:dyDescent="0.2">
      <c r="H209" s="41"/>
      <c r="K209" s="41"/>
      <c r="L209" s="41"/>
      <c r="S209" s="42"/>
      <c r="T209" s="42"/>
      <c r="U209" s="42"/>
      <c r="V209" s="42"/>
      <c r="W209" s="42"/>
    </row>
    <row r="210" spans="8:23" x14ac:dyDescent="0.2">
      <c r="H210" s="41"/>
      <c r="K210" s="41"/>
      <c r="L210" s="41"/>
      <c r="S210" s="42"/>
      <c r="T210" s="42"/>
      <c r="U210" s="42"/>
      <c r="V210" s="42"/>
      <c r="W210" s="42"/>
    </row>
    <row r="211" spans="8:23" x14ac:dyDescent="0.2">
      <c r="H211" s="41"/>
      <c r="K211" s="41"/>
      <c r="L211" s="41"/>
      <c r="S211" s="42"/>
      <c r="T211" s="42"/>
      <c r="U211" s="42"/>
      <c r="V211" s="42"/>
      <c r="W211" s="42"/>
    </row>
    <row r="212" spans="8:23" x14ac:dyDescent="0.2">
      <c r="H212" s="41"/>
      <c r="K212" s="41"/>
      <c r="L212" s="41"/>
      <c r="S212" s="42"/>
      <c r="T212" s="42"/>
      <c r="U212" s="42"/>
      <c r="V212" s="42"/>
      <c r="W212" s="42"/>
    </row>
    <row r="213" spans="8:23" x14ac:dyDescent="0.2">
      <c r="H213" s="41"/>
      <c r="K213" s="41"/>
      <c r="L213" s="41"/>
      <c r="S213" s="42"/>
      <c r="T213" s="42"/>
      <c r="U213" s="42"/>
      <c r="V213" s="42"/>
      <c r="W213" s="42"/>
    </row>
    <row r="214" spans="8:23" x14ac:dyDescent="0.2">
      <c r="H214" s="41"/>
      <c r="K214" s="41"/>
      <c r="L214" s="41"/>
      <c r="S214" s="42"/>
      <c r="T214" s="42"/>
      <c r="U214" s="42"/>
      <c r="V214" s="42"/>
      <c r="W214" s="42"/>
    </row>
    <row r="215" spans="8:23" x14ac:dyDescent="0.2">
      <c r="H215" s="41"/>
      <c r="K215" s="41"/>
      <c r="L215" s="41"/>
      <c r="S215" s="42"/>
      <c r="T215" s="42"/>
      <c r="U215" s="42"/>
      <c r="V215" s="42"/>
      <c r="W215" s="42"/>
    </row>
    <row r="216" spans="8:23" x14ac:dyDescent="0.2">
      <c r="H216" s="41"/>
      <c r="K216" s="41"/>
      <c r="L216" s="41"/>
      <c r="S216" s="42"/>
      <c r="T216" s="42"/>
      <c r="U216" s="42"/>
      <c r="V216" s="42"/>
      <c r="W216" s="42"/>
    </row>
    <row r="217" spans="8:23" x14ac:dyDescent="0.2">
      <c r="H217" s="41"/>
      <c r="K217" s="41"/>
      <c r="L217" s="41"/>
      <c r="S217" s="42"/>
      <c r="T217" s="42"/>
      <c r="U217" s="42"/>
      <c r="V217" s="42"/>
      <c r="W217" s="42"/>
    </row>
    <row r="218" spans="8:23" x14ac:dyDescent="0.2">
      <c r="H218" s="41"/>
      <c r="K218" s="41"/>
      <c r="L218" s="41"/>
      <c r="S218" s="42"/>
      <c r="T218" s="42"/>
      <c r="U218" s="42"/>
      <c r="V218" s="42"/>
      <c r="W218" s="42"/>
    </row>
    <row r="219" spans="8:23" x14ac:dyDescent="0.2">
      <c r="H219" s="41"/>
      <c r="K219" s="41"/>
      <c r="L219" s="41"/>
    </row>
  </sheetData>
  <autoFilter ref="A5:X80" xr:uid="{EAD9DE93-6C85-4B98-8FBA-DA51DB71D266}"/>
  <sortState xmlns:xlrd2="http://schemas.microsoft.com/office/spreadsheetml/2017/richdata2" ref="A43:X80">
    <sortCondition ref="N43:N80"/>
  </sortState>
  <mergeCells count="2">
    <mergeCell ref="S4:X4"/>
    <mergeCell ref="N4:R4"/>
  </mergeCells>
  <phoneticPr fontId="52" type="noConversion"/>
  <pageMargins left="0.7" right="0.7" top="0.75" bottom="0.75" header="0.3" footer="0.3"/>
  <pageSetup paperSize="8"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1846-EB0B-480F-BC6B-86C1E1EA23C3}">
  <sheetPr>
    <pageSetUpPr fitToPage="1"/>
  </sheetPr>
  <dimension ref="A1:AD54"/>
  <sheetViews>
    <sheetView zoomScale="80" zoomScaleNormal="80" workbookViewId="0">
      <selection activeCell="A2" sqref="A2:D2"/>
    </sheetView>
  </sheetViews>
  <sheetFormatPr baseColWidth="10" defaultRowHeight="15" outlineLevelCol="1" x14ac:dyDescent="0.25"/>
  <cols>
    <col min="1" max="1" width="27" customWidth="1"/>
    <col min="2" max="2" width="20" customWidth="1"/>
    <col min="3" max="5" width="14.140625" customWidth="1"/>
    <col min="6" max="6" width="10.5703125" customWidth="1"/>
    <col min="17" max="30" width="11.42578125" customWidth="1" outlineLevel="1"/>
  </cols>
  <sheetData>
    <row r="1" spans="1:30" s="13" customFormat="1" ht="31.9" customHeight="1" thickBot="1" x14ac:dyDescent="0.3">
      <c r="A1" s="161" t="s">
        <v>276</v>
      </c>
      <c r="B1" s="162"/>
      <c r="C1" s="162"/>
      <c r="D1" s="162"/>
      <c r="E1" s="162"/>
      <c r="F1" s="162"/>
      <c r="G1" s="162"/>
      <c r="H1" s="162"/>
      <c r="I1" s="162"/>
      <c r="J1" s="162"/>
      <c r="K1" s="162"/>
      <c r="L1" s="162"/>
      <c r="M1" s="162"/>
      <c r="N1" s="162"/>
      <c r="O1" s="163"/>
    </row>
    <row r="2" spans="1:30" x14ac:dyDescent="0.25">
      <c r="A2" s="164" t="s">
        <v>46</v>
      </c>
      <c r="B2" s="164"/>
      <c r="C2" s="164"/>
      <c r="D2" s="164"/>
    </row>
    <row r="3" spans="1:30" ht="34.5" x14ac:dyDescent="0.25">
      <c r="A3" s="1" t="s">
        <v>0</v>
      </c>
      <c r="B3" s="2" t="s">
        <v>1</v>
      </c>
      <c r="C3" s="2" t="s">
        <v>45</v>
      </c>
      <c r="D3" s="2" t="s">
        <v>2</v>
      </c>
    </row>
    <row r="4" spans="1:30" ht="21" x14ac:dyDescent="0.25">
      <c r="A4" s="32"/>
      <c r="B4" s="33"/>
      <c r="C4" s="34"/>
      <c r="D4" s="33"/>
    </row>
    <row r="6" spans="1:30" ht="43.5" customHeight="1" x14ac:dyDescent="0.25">
      <c r="C6" s="80"/>
      <c r="D6" s="80"/>
      <c r="E6" s="80"/>
      <c r="F6" s="80"/>
      <c r="G6" s="81"/>
      <c r="H6" s="81"/>
      <c r="I6" s="81"/>
      <c r="J6" s="169" t="s">
        <v>42</v>
      </c>
      <c r="K6" s="170"/>
      <c r="L6" s="170"/>
      <c r="M6" s="170"/>
      <c r="N6" s="171"/>
    </row>
    <row r="7" spans="1:30" ht="45" x14ac:dyDescent="0.25">
      <c r="A7" s="82"/>
      <c r="B7" s="82" t="s">
        <v>39</v>
      </c>
      <c r="C7" s="82" t="s">
        <v>40</v>
      </c>
      <c r="D7" s="82" t="s">
        <v>41</v>
      </c>
      <c r="E7" s="83" t="s">
        <v>43</v>
      </c>
      <c r="F7" s="83" t="s">
        <v>44</v>
      </c>
      <c r="G7" s="83" t="s">
        <v>86</v>
      </c>
      <c r="H7" s="83" t="s">
        <v>87</v>
      </c>
      <c r="I7" s="80"/>
      <c r="J7" s="84" t="s">
        <v>88</v>
      </c>
      <c r="K7" s="83" t="s">
        <v>89</v>
      </c>
      <c r="L7" s="83" t="s">
        <v>29</v>
      </c>
      <c r="M7" s="167" t="s">
        <v>93</v>
      </c>
      <c r="N7" s="168"/>
      <c r="O7" s="116" t="s">
        <v>117</v>
      </c>
    </row>
    <row r="8" spans="1:30" x14ac:dyDescent="0.25">
      <c r="A8" s="82" t="s">
        <v>91</v>
      </c>
      <c r="B8" s="85"/>
      <c r="C8" s="85"/>
      <c r="D8" s="86"/>
      <c r="E8" s="87"/>
      <c r="F8" s="85"/>
      <c r="G8" s="85">
        <v>0.98</v>
      </c>
      <c r="H8" s="85"/>
      <c r="I8" s="80"/>
      <c r="J8" s="89"/>
      <c r="K8" s="89"/>
      <c r="L8" s="89"/>
      <c r="M8" s="124" t="s">
        <v>53</v>
      </c>
      <c r="N8" s="89"/>
      <c r="O8" s="117">
        <f>+'Fichier Client'!B1</f>
        <v>2</v>
      </c>
    </row>
    <row r="9" spans="1:30" x14ac:dyDescent="0.25">
      <c r="A9" s="82" t="s">
        <v>92</v>
      </c>
      <c r="B9" s="85"/>
      <c r="C9" s="85"/>
      <c r="D9" s="86"/>
      <c r="E9" s="87"/>
      <c r="F9" s="85"/>
      <c r="G9" s="85">
        <v>0.98</v>
      </c>
      <c r="H9" s="85"/>
      <c r="I9" s="80"/>
      <c r="J9" s="89"/>
      <c r="K9" s="89"/>
      <c r="L9" s="89"/>
      <c r="M9" s="124" t="s">
        <v>47</v>
      </c>
      <c r="N9" s="89"/>
      <c r="O9" s="117">
        <f>'Fichier Client'!R83</f>
        <v>35</v>
      </c>
    </row>
    <row r="11" spans="1:30" ht="15.75" thickBot="1" x14ac:dyDescent="0.3"/>
    <row r="12" spans="1:30" ht="21.75" thickBot="1" x14ac:dyDescent="0.4">
      <c r="A12" s="165" t="s">
        <v>3</v>
      </c>
      <c r="B12" s="166"/>
      <c r="C12" s="166"/>
      <c r="D12" s="166"/>
      <c r="E12" s="166"/>
      <c r="F12" s="166"/>
      <c r="G12" s="166"/>
      <c r="H12" s="166"/>
      <c r="I12" s="166"/>
      <c r="J12" s="166"/>
      <c r="K12" s="166"/>
      <c r="L12" s="166"/>
      <c r="M12" s="166"/>
      <c r="N12" s="166"/>
      <c r="O12" s="166"/>
      <c r="Q12" s="173" t="s">
        <v>98</v>
      </c>
      <c r="R12" s="173"/>
      <c r="S12" s="173"/>
      <c r="T12" s="173"/>
      <c r="U12" s="173"/>
      <c r="V12" s="173"/>
      <c r="W12" s="173"/>
      <c r="X12" s="173"/>
      <c r="Y12" s="80"/>
      <c r="Z12" s="172" t="s">
        <v>99</v>
      </c>
      <c r="AA12" s="172"/>
      <c r="AB12" s="172"/>
      <c r="AC12" s="172"/>
      <c r="AD12" s="172"/>
    </row>
    <row r="13" spans="1:30" x14ac:dyDescent="0.25">
      <c r="A13" s="90"/>
      <c r="B13" s="90"/>
      <c r="C13" s="103"/>
      <c r="D13" s="90"/>
      <c r="E13" s="90"/>
      <c r="F13" s="90"/>
      <c r="G13" s="90"/>
      <c r="H13" s="90"/>
      <c r="I13" s="90"/>
      <c r="J13" s="90"/>
      <c r="K13" s="90"/>
      <c r="L13" s="90"/>
      <c r="M13" s="90"/>
      <c r="N13" s="90"/>
      <c r="O13" s="90"/>
      <c r="P13" s="90"/>
      <c r="Q13" s="95"/>
      <c r="R13" s="95"/>
      <c r="S13" s="95"/>
      <c r="T13" s="95"/>
      <c r="U13" s="95"/>
      <c r="V13" s="95"/>
      <c r="W13" s="95"/>
      <c r="X13" s="95"/>
      <c r="Y13" s="95"/>
      <c r="Z13" s="174" t="s">
        <v>109</v>
      </c>
      <c r="AA13" s="174"/>
      <c r="AB13" s="174"/>
      <c r="AC13" s="174"/>
      <c r="AD13" s="174"/>
    </row>
    <row r="14" spans="1:30" ht="17.25" x14ac:dyDescent="0.3">
      <c r="A14" s="160" t="s">
        <v>94</v>
      </c>
      <c r="B14" s="160"/>
      <c r="C14" s="160"/>
      <c r="D14" s="160"/>
      <c r="E14" s="160"/>
      <c r="F14" s="160"/>
      <c r="G14" s="160"/>
      <c r="H14" s="160"/>
      <c r="I14" s="160"/>
      <c r="J14" s="160"/>
      <c r="K14" s="160"/>
      <c r="L14" s="160"/>
      <c r="M14" s="160"/>
      <c r="N14" s="160"/>
      <c r="O14" s="160"/>
      <c r="P14" s="90"/>
      <c r="Q14" s="175" t="str">
        <f>+A14</f>
        <v>C4 2023</v>
      </c>
      <c r="R14" s="175"/>
      <c r="S14" s="175"/>
      <c r="T14" s="175"/>
      <c r="U14" s="175"/>
      <c r="V14" s="175"/>
      <c r="W14" s="175"/>
      <c r="X14" s="175"/>
      <c r="Y14" s="95"/>
      <c r="Z14" s="175" t="str">
        <f>+Q14</f>
        <v>C4 2023</v>
      </c>
      <c r="AA14" s="175"/>
      <c r="AB14" s="175"/>
      <c r="AC14" s="175"/>
      <c r="AD14" s="175"/>
    </row>
    <row r="15" spans="1:30" s="13" customFormat="1" ht="28.15" customHeight="1" x14ac:dyDescent="0.25">
      <c r="A15" s="91"/>
      <c r="B15" s="91"/>
      <c r="C15" s="91"/>
      <c r="D15" s="153" t="s">
        <v>4</v>
      </c>
      <c r="E15" s="153"/>
      <c r="F15" s="154" t="s">
        <v>5</v>
      </c>
      <c r="G15" s="155"/>
      <c r="H15" s="154" t="s">
        <v>6</v>
      </c>
      <c r="I15" s="154"/>
      <c r="J15" s="108" t="s">
        <v>38</v>
      </c>
      <c r="K15" s="155" t="s">
        <v>7</v>
      </c>
      <c r="L15" s="155"/>
      <c r="M15" s="155" t="s">
        <v>8</v>
      </c>
      <c r="N15" s="155"/>
      <c r="O15" s="155"/>
      <c r="P15" s="90"/>
      <c r="Q15" s="176" t="s">
        <v>100</v>
      </c>
      <c r="R15" s="176"/>
      <c r="S15" s="176"/>
      <c r="T15" s="176"/>
      <c r="U15" s="92" t="s">
        <v>101</v>
      </c>
      <c r="V15" s="92" t="s">
        <v>102</v>
      </c>
      <c r="W15" s="93" t="s">
        <v>90</v>
      </c>
      <c r="X15" s="92" t="s">
        <v>54</v>
      </c>
      <c r="Y15" s="94"/>
      <c r="Z15" s="176" t="s">
        <v>4</v>
      </c>
      <c r="AA15" s="176"/>
      <c r="AB15" s="176" t="s">
        <v>100</v>
      </c>
      <c r="AC15" s="176"/>
      <c r="AD15" s="92" t="s">
        <v>54</v>
      </c>
    </row>
    <row r="16" spans="1:30" ht="46.5" customHeight="1" x14ac:dyDescent="0.25">
      <c r="A16" s="110" t="s">
        <v>9</v>
      </c>
      <c r="B16" s="111"/>
      <c r="C16" s="8" t="s">
        <v>10</v>
      </c>
      <c r="D16" s="3" t="s">
        <v>25</v>
      </c>
      <c r="E16" s="3" t="s">
        <v>11</v>
      </c>
      <c r="F16" s="109" t="s">
        <v>12</v>
      </c>
      <c r="G16" s="8" t="s">
        <v>13</v>
      </c>
      <c r="H16" s="8" t="s">
        <v>12</v>
      </c>
      <c r="I16" s="8" t="s">
        <v>13</v>
      </c>
      <c r="J16" s="14" t="s">
        <v>25</v>
      </c>
      <c r="K16" s="8" t="s">
        <v>14</v>
      </c>
      <c r="L16" s="8" t="s">
        <v>15</v>
      </c>
      <c r="M16" s="8" t="s">
        <v>16</v>
      </c>
      <c r="N16" s="8" t="s">
        <v>17</v>
      </c>
      <c r="O16" s="8" t="s">
        <v>18</v>
      </c>
      <c r="P16" s="90"/>
      <c r="Q16" s="92" t="s">
        <v>103</v>
      </c>
      <c r="R16" s="92" t="s">
        <v>104</v>
      </c>
      <c r="S16" s="92" t="s">
        <v>105</v>
      </c>
      <c r="T16" s="92" t="s">
        <v>104</v>
      </c>
      <c r="U16" s="92" t="s">
        <v>104</v>
      </c>
      <c r="V16" s="92" t="s">
        <v>104</v>
      </c>
      <c r="W16" s="93" t="s">
        <v>106</v>
      </c>
      <c r="X16" s="92" t="s">
        <v>107</v>
      </c>
      <c r="Y16" s="95"/>
      <c r="Z16" s="92" t="s">
        <v>108</v>
      </c>
      <c r="AA16" s="92" t="s">
        <v>104</v>
      </c>
      <c r="AB16" s="92" t="s">
        <v>108</v>
      </c>
      <c r="AC16" s="92" t="s">
        <v>104</v>
      </c>
      <c r="AD16" s="92" t="s">
        <v>107</v>
      </c>
    </row>
    <row r="17" spans="1:30" x14ac:dyDescent="0.25">
      <c r="A17" s="144"/>
      <c r="B17" s="5" t="s">
        <v>19</v>
      </c>
      <c r="C17" s="26">
        <f>'Fichier Client'!$T$1</f>
        <v>103.834</v>
      </c>
      <c r="D17" s="30"/>
      <c r="E17" s="4">
        <f>+C17*D17</f>
        <v>0</v>
      </c>
      <c r="F17" s="29">
        <v>0</v>
      </c>
      <c r="G17" s="28">
        <v>0</v>
      </c>
      <c r="H17" s="27">
        <v>0</v>
      </c>
      <c r="I17" s="28">
        <v>0</v>
      </c>
      <c r="J17" s="156"/>
      <c r="K17" s="156">
        <v>0</v>
      </c>
      <c r="L17" s="156">
        <v>0</v>
      </c>
      <c r="M17" s="146"/>
      <c r="N17" s="147">
        <f>M17*8760</f>
        <v>0</v>
      </c>
      <c r="O17" s="148">
        <f>+N17/C21</f>
        <v>0</v>
      </c>
      <c r="P17" s="90"/>
      <c r="Q17" s="96">
        <f>G17*$F$8*$G$8</f>
        <v>0</v>
      </c>
      <c r="R17" s="97">
        <f>Q17*$C17</f>
        <v>0</v>
      </c>
      <c r="S17" s="98">
        <f>I17*$F$8*$G$8</f>
        <v>0</v>
      </c>
      <c r="T17" s="97">
        <f>S17*$C17</f>
        <v>0</v>
      </c>
      <c r="U17" s="97">
        <f>$J$17*$C17</f>
        <v>0</v>
      </c>
      <c r="V17" s="97">
        <f>($K$17+$L$17)*$C17</f>
        <v>0</v>
      </c>
      <c r="W17" s="97">
        <f>+$N$9*$O$9</f>
        <v>0</v>
      </c>
      <c r="X17" s="99">
        <f>E17+T17+U17+V17+W17</f>
        <v>0</v>
      </c>
      <c r="Y17" s="95"/>
      <c r="Z17" s="118">
        <f>D17+$O$17*$E$8*($H$8-$D$8)</f>
        <v>0</v>
      </c>
      <c r="AA17" s="97">
        <f>$C17*Z17</f>
        <v>0</v>
      </c>
      <c r="AB17" s="137">
        <f>S17+$O$17*$E$8*($F$8*1000/8760)</f>
        <v>0</v>
      </c>
      <c r="AC17" s="97">
        <f>AB17*$C17</f>
        <v>0</v>
      </c>
      <c r="AD17" s="99">
        <f>U17+V17+W17+AA17+AC17</f>
        <v>0</v>
      </c>
    </row>
    <row r="18" spans="1:30" x14ac:dyDescent="0.25">
      <c r="A18" s="145"/>
      <c r="B18" s="5" t="s">
        <v>20</v>
      </c>
      <c r="C18" s="26">
        <f>'Fichier Client'!$U$1</f>
        <v>40.563999999999993</v>
      </c>
      <c r="D18" s="30"/>
      <c r="E18" s="4">
        <f>+C18*D18</f>
        <v>0</v>
      </c>
      <c r="F18" s="29">
        <v>0</v>
      </c>
      <c r="G18" s="28">
        <v>0</v>
      </c>
      <c r="H18" s="27">
        <v>0</v>
      </c>
      <c r="I18" s="28">
        <v>0</v>
      </c>
      <c r="J18" s="157"/>
      <c r="K18" s="157">
        <v>0</v>
      </c>
      <c r="L18" s="157">
        <v>0</v>
      </c>
      <c r="M18" s="146"/>
      <c r="N18" s="147"/>
      <c r="O18" s="148"/>
      <c r="P18" s="90"/>
      <c r="Q18" s="96">
        <f t="shared" ref="Q18:Q20" si="0">G18*$F$8*$G$8</f>
        <v>0</v>
      </c>
      <c r="R18" s="97">
        <f t="shared" ref="R18:R20" si="1">Q18*$C18</f>
        <v>0</v>
      </c>
      <c r="S18" s="98">
        <f>I18*$F$8*$G$8</f>
        <v>0</v>
      </c>
      <c r="T18" s="97">
        <f t="shared" ref="T18:T19" si="2">S18*$C18</f>
        <v>0</v>
      </c>
      <c r="U18" s="97">
        <f t="shared" ref="U18:U19" si="3">$J$17*$C18</f>
        <v>0</v>
      </c>
      <c r="V18" s="97">
        <f t="shared" ref="V18:V19" si="4">($K$17+$L$17)*$C18</f>
        <v>0</v>
      </c>
      <c r="W18" s="97"/>
      <c r="X18" s="99">
        <f t="shared" ref="X18:X20" si="5">E18+T18+U18+V18+W18</f>
        <v>0</v>
      </c>
      <c r="Y18" s="95"/>
      <c r="Z18" s="118">
        <f>D18+$O$17*$E$8*($H$8-$D$8)</f>
        <v>0</v>
      </c>
      <c r="AA18" s="97">
        <f t="shared" ref="AA18:AA20" si="6">$C18*Z18</f>
        <v>0</v>
      </c>
      <c r="AB18" s="137">
        <f>S18+$O$17*$E$8*($F$8*1000/8760)</f>
        <v>0</v>
      </c>
      <c r="AC18" s="97">
        <f t="shared" ref="AC18:AC20" si="7">AB18*$C18</f>
        <v>0</v>
      </c>
      <c r="AD18" s="99">
        <f t="shared" ref="AD18:AD20" si="8">U18+V18+W18+AA18+AC18</f>
        <v>0</v>
      </c>
    </row>
    <row r="19" spans="1:30" x14ac:dyDescent="0.25">
      <c r="A19" s="113" t="s">
        <v>21</v>
      </c>
      <c r="B19" s="5" t="s">
        <v>22</v>
      </c>
      <c r="C19" s="26">
        <f>'Fichier Client'!$V$1</f>
        <v>60.816999999999993</v>
      </c>
      <c r="D19" s="30"/>
      <c r="E19" s="4">
        <f>+C19*D19</f>
        <v>0</v>
      </c>
      <c r="F19" s="29">
        <v>0</v>
      </c>
      <c r="G19" s="28">
        <v>0</v>
      </c>
      <c r="H19" s="27">
        <v>0</v>
      </c>
      <c r="I19" s="28">
        <v>0</v>
      </c>
      <c r="J19" s="157"/>
      <c r="K19" s="157">
        <v>0</v>
      </c>
      <c r="L19" s="157">
        <v>0</v>
      </c>
      <c r="M19" s="146"/>
      <c r="N19" s="147"/>
      <c r="O19" s="148"/>
      <c r="P19" s="90"/>
      <c r="Q19" s="96">
        <f t="shared" si="0"/>
        <v>0</v>
      </c>
      <c r="R19" s="97">
        <f t="shared" si="1"/>
        <v>0</v>
      </c>
      <c r="S19" s="98">
        <f>I19*$F$8*$G$8</f>
        <v>0</v>
      </c>
      <c r="T19" s="97">
        <f t="shared" si="2"/>
        <v>0</v>
      </c>
      <c r="U19" s="97">
        <f t="shared" si="3"/>
        <v>0</v>
      </c>
      <c r="V19" s="97">
        <f t="shared" si="4"/>
        <v>0</v>
      </c>
      <c r="W19" s="97"/>
      <c r="X19" s="99">
        <f t="shared" si="5"/>
        <v>0</v>
      </c>
      <c r="Y19" s="95"/>
      <c r="Z19" s="118">
        <f>D19+$O$17*$E$8*($H$8-$D$8)</f>
        <v>0</v>
      </c>
      <c r="AA19" s="97">
        <f t="shared" si="6"/>
        <v>0</v>
      </c>
      <c r="AB19" s="137">
        <f>S19+$O$17*$E$8*($F$8*1000/8760)</f>
        <v>0</v>
      </c>
      <c r="AC19" s="97">
        <f t="shared" si="7"/>
        <v>0</v>
      </c>
      <c r="AD19" s="99">
        <f t="shared" si="8"/>
        <v>0</v>
      </c>
    </row>
    <row r="20" spans="1:30" x14ac:dyDescent="0.25">
      <c r="A20" s="7" t="s">
        <v>116</v>
      </c>
      <c r="B20" s="5" t="s">
        <v>23</v>
      </c>
      <c r="C20" s="26">
        <f>'Fichier Client'!$W$1</f>
        <v>18.904</v>
      </c>
      <c r="D20" s="30"/>
      <c r="E20" s="4">
        <f>+C20*D20</f>
        <v>0</v>
      </c>
      <c r="F20" s="29">
        <v>0</v>
      </c>
      <c r="G20" s="28">
        <v>0</v>
      </c>
      <c r="H20" s="27">
        <v>0</v>
      </c>
      <c r="I20" s="28">
        <v>0</v>
      </c>
      <c r="J20" s="158"/>
      <c r="K20" s="158">
        <v>0</v>
      </c>
      <c r="L20" s="158">
        <v>0</v>
      </c>
      <c r="M20" s="146"/>
      <c r="N20" s="147"/>
      <c r="O20" s="148"/>
      <c r="P20" s="90"/>
      <c r="Q20" s="96">
        <f t="shared" si="0"/>
        <v>0</v>
      </c>
      <c r="R20" s="97">
        <f t="shared" si="1"/>
        <v>0</v>
      </c>
      <c r="S20" s="98">
        <f>I20*$F$8*$G$8</f>
        <v>0</v>
      </c>
      <c r="T20" s="97">
        <f>S20*$C20</f>
        <v>0</v>
      </c>
      <c r="U20" s="97">
        <f>$J$17*$C20</f>
        <v>0</v>
      </c>
      <c r="V20" s="97">
        <f>($K$17+$L$17)*$C20</f>
        <v>0</v>
      </c>
      <c r="W20" s="97"/>
      <c r="X20" s="99">
        <f t="shared" si="5"/>
        <v>0</v>
      </c>
      <c r="Y20" s="95"/>
      <c r="Z20" s="118">
        <f>D20+$O$17*$E$8*($H$8-$D$8)</f>
        <v>0</v>
      </c>
      <c r="AA20" s="97">
        <f t="shared" si="6"/>
        <v>0</v>
      </c>
      <c r="AB20" s="137">
        <f>S20+$O$17*$E$8*($F$8*1000/8760)</f>
        <v>0</v>
      </c>
      <c r="AC20" s="97">
        <f t="shared" si="7"/>
        <v>0</v>
      </c>
      <c r="AD20" s="99">
        <f t="shared" si="8"/>
        <v>0</v>
      </c>
    </row>
    <row r="21" spans="1:30" x14ac:dyDescent="0.25">
      <c r="A21" s="10"/>
      <c r="B21" s="112" t="s">
        <v>24</v>
      </c>
      <c r="C21" s="18">
        <f>SUM(C17:C20)</f>
        <v>224.11899999999997</v>
      </c>
      <c r="D21" s="35">
        <f>SUM(D17:D20)</f>
        <v>0</v>
      </c>
      <c r="E21" s="12">
        <f>SUM(E17:E20)</f>
        <v>0</v>
      </c>
      <c r="F21" s="90"/>
      <c r="G21" s="90"/>
      <c r="H21" s="90"/>
      <c r="I21" s="11"/>
      <c r="J21" s="11"/>
      <c r="K21" s="9"/>
      <c r="L21" s="9"/>
      <c r="M21" s="9"/>
      <c r="N21" s="6"/>
      <c r="O21" s="6"/>
      <c r="P21" s="90"/>
      <c r="Q21" s="100">
        <f>SUMPRODUCT($C17:$C20,Q17:Q20)/$C21</f>
        <v>0</v>
      </c>
      <c r="R21" s="101">
        <f>SUM(R16:R20)</f>
        <v>0</v>
      </c>
      <c r="S21" s="100">
        <f>SUMPRODUCT($C17:$C20,S17:S20)/$C21</f>
        <v>0</v>
      </c>
      <c r="T21" s="101">
        <f t="shared" ref="T21:X21" si="9">SUM(T17:T20)</f>
        <v>0</v>
      </c>
      <c r="U21" s="101">
        <f t="shared" si="9"/>
        <v>0</v>
      </c>
      <c r="V21" s="101">
        <f t="shared" si="9"/>
        <v>0</v>
      </c>
      <c r="W21" s="101">
        <f t="shared" si="9"/>
        <v>0</v>
      </c>
      <c r="X21" s="101">
        <f t="shared" si="9"/>
        <v>0</v>
      </c>
      <c r="Y21" s="95"/>
      <c r="Z21" s="102">
        <f>SUMPRODUCT($C17:$C20,Z17:Z20)/$C21</f>
        <v>0</v>
      </c>
      <c r="AA21" s="101">
        <f>SUM(AA17:AA20)</f>
        <v>0</v>
      </c>
      <c r="AB21" s="102">
        <f>SUMPRODUCT($C17:$C20,AB17:AB20)/$C21</f>
        <v>0</v>
      </c>
      <c r="AC21" s="101">
        <f t="shared" ref="AC21:AD21" si="10">SUM(AC17:AC20)</f>
        <v>0</v>
      </c>
      <c r="AD21" s="101">
        <f t="shared" si="10"/>
        <v>0</v>
      </c>
    </row>
    <row r="22" spans="1:30" x14ac:dyDescent="0.25">
      <c r="A22" s="90"/>
      <c r="B22" s="90"/>
      <c r="C22" s="103"/>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row>
    <row r="23" spans="1:30" ht="17.25" x14ac:dyDescent="0.3">
      <c r="A23" s="160" t="s">
        <v>95</v>
      </c>
      <c r="B23" s="160"/>
      <c r="C23" s="160"/>
      <c r="D23" s="160"/>
      <c r="E23" s="160"/>
      <c r="F23" s="160"/>
      <c r="G23" s="160"/>
      <c r="H23" s="160"/>
      <c r="I23" s="160"/>
      <c r="J23" s="160"/>
      <c r="K23" s="160"/>
      <c r="L23" s="160"/>
      <c r="M23" s="160"/>
      <c r="N23" s="160"/>
      <c r="O23" s="160"/>
      <c r="P23" s="90"/>
      <c r="Q23" s="175" t="str">
        <f>+A23</f>
        <v>C4 2024</v>
      </c>
      <c r="R23" s="175"/>
      <c r="S23" s="175"/>
      <c r="T23" s="175"/>
      <c r="U23" s="175"/>
      <c r="V23" s="175"/>
      <c r="W23" s="175"/>
      <c r="X23" s="175"/>
      <c r="Y23" s="95"/>
      <c r="Z23" s="175" t="str">
        <f>+Q23</f>
        <v>C4 2024</v>
      </c>
      <c r="AA23" s="175"/>
      <c r="AB23" s="175"/>
      <c r="AC23" s="175"/>
      <c r="AD23" s="175"/>
    </row>
    <row r="24" spans="1:30" s="13" customFormat="1" ht="28.15" customHeight="1" x14ac:dyDescent="0.25">
      <c r="A24" s="91"/>
      <c r="B24" s="91"/>
      <c r="C24" s="91"/>
      <c r="D24" s="153" t="s">
        <v>4</v>
      </c>
      <c r="E24" s="153"/>
      <c r="F24" s="154" t="s">
        <v>5</v>
      </c>
      <c r="G24" s="155"/>
      <c r="H24" s="154" t="s">
        <v>6</v>
      </c>
      <c r="I24" s="154"/>
      <c r="J24" s="108" t="s">
        <v>38</v>
      </c>
      <c r="K24" s="155" t="s">
        <v>7</v>
      </c>
      <c r="L24" s="155"/>
      <c r="M24" s="155" t="s">
        <v>8</v>
      </c>
      <c r="N24" s="155"/>
      <c r="O24" s="155"/>
      <c r="P24" s="90"/>
      <c r="Q24" s="176" t="s">
        <v>100</v>
      </c>
      <c r="R24" s="176"/>
      <c r="S24" s="176"/>
      <c r="T24" s="176"/>
      <c r="U24" s="92" t="s">
        <v>101</v>
      </c>
      <c r="V24" s="92" t="s">
        <v>102</v>
      </c>
      <c r="W24" s="93" t="s">
        <v>90</v>
      </c>
      <c r="X24" s="92" t="s">
        <v>54</v>
      </c>
      <c r="Y24" s="94"/>
      <c r="Z24" s="176" t="s">
        <v>4</v>
      </c>
      <c r="AA24" s="176"/>
      <c r="AB24" s="176" t="s">
        <v>100</v>
      </c>
      <c r="AC24" s="176"/>
      <c r="AD24" s="92" t="s">
        <v>54</v>
      </c>
    </row>
    <row r="25" spans="1:30" ht="46.5" customHeight="1" x14ac:dyDescent="0.25">
      <c r="A25" s="110" t="s">
        <v>9</v>
      </c>
      <c r="B25" s="111"/>
      <c r="C25" s="8" t="s">
        <v>10</v>
      </c>
      <c r="D25" s="3" t="s">
        <v>25</v>
      </c>
      <c r="E25" s="3" t="s">
        <v>11</v>
      </c>
      <c r="F25" s="109" t="s">
        <v>12</v>
      </c>
      <c r="G25" s="8" t="s">
        <v>13</v>
      </c>
      <c r="H25" s="8" t="s">
        <v>12</v>
      </c>
      <c r="I25" s="8" t="s">
        <v>13</v>
      </c>
      <c r="J25" s="14" t="s">
        <v>25</v>
      </c>
      <c r="K25" s="8" t="s">
        <v>14</v>
      </c>
      <c r="L25" s="8" t="s">
        <v>15</v>
      </c>
      <c r="M25" s="8" t="s">
        <v>16</v>
      </c>
      <c r="N25" s="8" t="s">
        <v>17</v>
      </c>
      <c r="O25" s="8" t="s">
        <v>18</v>
      </c>
      <c r="P25" s="90"/>
      <c r="Q25" s="92" t="s">
        <v>103</v>
      </c>
      <c r="R25" s="92" t="s">
        <v>104</v>
      </c>
      <c r="S25" s="92" t="s">
        <v>105</v>
      </c>
      <c r="T25" s="92" t="s">
        <v>104</v>
      </c>
      <c r="U25" s="92" t="s">
        <v>104</v>
      </c>
      <c r="V25" s="92" t="s">
        <v>104</v>
      </c>
      <c r="W25" s="93" t="s">
        <v>106</v>
      </c>
      <c r="X25" s="92" t="s">
        <v>107</v>
      </c>
      <c r="Y25" s="95"/>
      <c r="Z25" s="92" t="s">
        <v>108</v>
      </c>
      <c r="AA25" s="92" t="s">
        <v>104</v>
      </c>
      <c r="AB25" s="92" t="s">
        <v>108</v>
      </c>
      <c r="AC25" s="92" t="s">
        <v>104</v>
      </c>
      <c r="AD25" s="92" t="s">
        <v>107</v>
      </c>
    </row>
    <row r="26" spans="1:30" x14ac:dyDescent="0.25">
      <c r="A26" s="144"/>
      <c r="B26" s="5" t="s">
        <v>19</v>
      </c>
      <c r="C26" s="26">
        <f>'Fichier Client'!$T$1</f>
        <v>103.834</v>
      </c>
      <c r="D26" s="30"/>
      <c r="E26" s="4">
        <f>+C26*D26</f>
        <v>0</v>
      </c>
      <c r="F26" s="29">
        <v>0</v>
      </c>
      <c r="G26" s="28">
        <v>0</v>
      </c>
      <c r="H26" s="27">
        <v>0</v>
      </c>
      <c r="I26" s="28">
        <v>0</v>
      </c>
      <c r="J26" s="156">
        <v>0</v>
      </c>
      <c r="K26" s="156">
        <v>0</v>
      </c>
      <c r="L26" s="156">
        <v>0</v>
      </c>
      <c r="M26" s="146"/>
      <c r="N26" s="147">
        <f>M26*8760</f>
        <v>0</v>
      </c>
      <c r="O26" s="148">
        <f>+N26/C30</f>
        <v>0</v>
      </c>
      <c r="P26" s="90"/>
      <c r="Q26" s="96">
        <f>G26*$F$8*$G$8</f>
        <v>0</v>
      </c>
      <c r="R26" s="97">
        <f>Q26*$C26</f>
        <v>0</v>
      </c>
      <c r="S26" s="98">
        <f>I26*$F$9*$G$9</f>
        <v>0</v>
      </c>
      <c r="T26" s="97">
        <f>S26*$C26</f>
        <v>0</v>
      </c>
      <c r="U26" s="97">
        <f>$J$26*$C26</f>
        <v>0</v>
      </c>
      <c r="V26" s="97">
        <f>($K$26+$L$26)*$C26</f>
        <v>0</v>
      </c>
      <c r="W26" s="97">
        <f>+$N$9*$O$9</f>
        <v>0</v>
      </c>
      <c r="X26" s="99">
        <f>E26+T26+U26+V26+W26</f>
        <v>0</v>
      </c>
      <c r="Y26" s="95"/>
      <c r="Z26" s="118">
        <f>D26+$O$26*$E$9*($H$9-$D$9)</f>
        <v>0</v>
      </c>
      <c r="AA26" s="97">
        <f>$C26*Z26</f>
        <v>0</v>
      </c>
      <c r="AB26" s="137">
        <f>S26+$O$26*$E$9*($F$9*1000/8760)</f>
        <v>0</v>
      </c>
      <c r="AC26" s="97">
        <f>AB26*$C26</f>
        <v>0</v>
      </c>
      <c r="AD26" s="99">
        <f>U26+V26+W26+AA26+AC26</f>
        <v>0</v>
      </c>
    </row>
    <row r="27" spans="1:30" x14ac:dyDescent="0.25">
      <c r="A27" s="145"/>
      <c r="B27" s="5" t="s">
        <v>20</v>
      </c>
      <c r="C27" s="26">
        <f>'Fichier Client'!$U$1</f>
        <v>40.563999999999993</v>
      </c>
      <c r="D27" s="30"/>
      <c r="E27" s="4">
        <f>+C27*D27</f>
        <v>0</v>
      </c>
      <c r="F27" s="29">
        <v>0</v>
      </c>
      <c r="G27" s="28">
        <v>0</v>
      </c>
      <c r="H27" s="27">
        <v>0</v>
      </c>
      <c r="I27" s="28">
        <v>0</v>
      </c>
      <c r="J27" s="157">
        <v>0</v>
      </c>
      <c r="K27" s="157">
        <v>0</v>
      </c>
      <c r="L27" s="157">
        <v>0</v>
      </c>
      <c r="M27" s="146"/>
      <c r="N27" s="147"/>
      <c r="O27" s="148"/>
      <c r="P27" s="90"/>
      <c r="Q27" s="96">
        <f t="shared" ref="Q27:Q29" si="11">G27*$F$8*$G$8</f>
        <v>0</v>
      </c>
      <c r="R27" s="97">
        <f t="shared" ref="R27:R29" si="12">Q27*$C27</f>
        <v>0</v>
      </c>
      <c r="S27" s="98">
        <f>I27*$F$9*$G$9</f>
        <v>0</v>
      </c>
      <c r="T27" s="97">
        <f>S27*$C27</f>
        <v>0</v>
      </c>
      <c r="U27" s="97">
        <f>$J$26*$C27</f>
        <v>0</v>
      </c>
      <c r="V27" s="97">
        <f>($K$26+$L$26)*$C27</f>
        <v>0</v>
      </c>
      <c r="W27" s="97"/>
      <c r="X27" s="99">
        <f t="shared" ref="X27:X29" si="13">E27+T27+U27+V27+W27</f>
        <v>0</v>
      </c>
      <c r="Y27" s="95"/>
      <c r="Z27" s="118">
        <f>D27+$O$26*$E$9*($H$9-$D$9)</f>
        <v>0</v>
      </c>
      <c r="AA27" s="97">
        <f t="shared" ref="AA27:AA29" si="14">$C27*Z27</f>
        <v>0</v>
      </c>
      <c r="AB27" s="137">
        <f>S27+$O$26*$E$9*($F$9*1000/8760)</f>
        <v>0</v>
      </c>
      <c r="AC27" s="97">
        <f t="shared" ref="AC27:AC29" si="15">AB27*$C27</f>
        <v>0</v>
      </c>
      <c r="AD27" s="99">
        <f t="shared" ref="AD27:AD29" si="16">U27+V27+W27+AA27+AC27</f>
        <v>0</v>
      </c>
    </row>
    <row r="28" spans="1:30" x14ac:dyDescent="0.25">
      <c r="A28" s="113" t="s">
        <v>21</v>
      </c>
      <c r="B28" s="5" t="s">
        <v>22</v>
      </c>
      <c r="C28" s="26">
        <f>'Fichier Client'!$V$1</f>
        <v>60.816999999999993</v>
      </c>
      <c r="D28" s="30"/>
      <c r="E28" s="4">
        <f>+C28*D28</f>
        <v>0</v>
      </c>
      <c r="F28" s="29">
        <v>0</v>
      </c>
      <c r="G28" s="28">
        <v>0</v>
      </c>
      <c r="H28" s="27">
        <v>0</v>
      </c>
      <c r="I28" s="28">
        <v>0</v>
      </c>
      <c r="J28" s="157">
        <v>0</v>
      </c>
      <c r="K28" s="157">
        <v>0</v>
      </c>
      <c r="L28" s="157">
        <v>0</v>
      </c>
      <c r="M28" s="146"/>
      <c r="N28" s="147"/>
      <c r="O28" s="148"/>
      <c r="P28" s="90"/>
      <c r="Q28" s="96">
        <f t="shared" si="11"/>
        <v>0</v>
      </c>
      <c r="R28" s="97">
        <f t="shared" si="12"/>
        <v>0</v>
      </c>
      <c r="S28" s="98">
        <f t="shared" ref="S28:S29" si="17">I28*$F$9*$G$9</f>
        <v>0</v>
      </c>
      <c r="T28" s="97">
        <f t="shared" ref="T28:T29" si="18">S28*$C28</f>
        <v>0</v>
      </c>
      <c r="U28" s="97">
        <f t="shared" ref="U28:U29" si="19">$J$26*$C28</f>
        <v>0</v>
      </c>
      <c r="V28" s="97">
        <f t="shared" ref="V28:V29" si="20">($K$26+$L$26)*$C28</f>
        <v>0</v>
      </c>
      <c r="W28" s="97"/>
      <c r="X28" s="99">
        <f t="shared" si="13"/>
        <v>0</v>
      </c>
      <c r="Y28" s="95"/>
      <c r="Z28" s="118">
        <f>D28+$O$26*$E$9*($H$9-$D$9)</f>
        <v>0</v>
      </c>
      <c r="AA28" s="97">
        <f t="shared" si="14"/>
        <v>0</v>
      </c>
      <c r="AB28" s="137">
        <f>S28+$O$26*$E$9*($F$9*1000/8760)</f>
        <v>0</v>
      </c>
      <c r="AC28" s="97">
        <f t="shared" si="15"/>
        <v>0</v>
      </c>
      <c r="AD28" s="99">
        <f t="shared" si="16"/>
        <v>0</v>
      </c>
    </row>
    <row r="29" spans="1:30" x14ac:dyDescent="0.25">
      <c r="A29" s="7" t="s">
        <v>116</v>
      </c>
      <c r="B29" s="5" t="s">
        <v>23</v>
      </c>
      <c r="C29" s="26">
        <f>'Fichier Client'!$W$1</f>
        <v>18.904</v>
      </c>
      <c r="D29" s="30"/>
      <c r="E29" s="4">
        <f>+C29*D29</f>
        <v>0</v>
      </c>
      <c r="F29" s="29">
        <v>0</v>
      </c>
      <c r="G29" s="28">
        <v>0</v>
      </c>
      <c r="H29" s="27">
        <v>0</v>
      </c>
      <c r="I29" s="28">
        <v>0</v>
      </c>
      <c r="J29" s="158">
        <v>0</v>
      </c>
      <c r="K29" s="158">
        <v>0</v>
      </c>
      <c r="L29" s="158">
        <v>0</v>
      </c>
      <c r="M29" s="146"/>
      <c r="N29" s="147"/>
      <c r="O29" s="148"/>
      <c r="P29" s="90"/>
      <c r="Q29" s="96">
        <f t="shared" si="11"/>
        <v>0</v>
      </c>
      <c r="R29" s="97">
        <f t="shared" si="12"/>
        <v>0</v>
      </c>
      <c r="S29" s="98">
        <f t="shared" si="17"/>
        <v>0</v>
      </c>
      <c r="T29" s="97">
        <f t="shared" si="18"/>
        <v>0</v>
      </c>
      <c r="U29" s="97">
        <f t="shared" si="19"/>
        <v>0</v>
      </c>
      <c r="V29" s="97">
        <f t="shared" si="20"/>
        <v>0</v>
      </c>
      <c r="W29" s="97"/>
      <c r="X29" s="99">
        <f t="shared" si="13"/>
        <v>0</v>
      </c>
      <c r="Y29" s="95"/>
      <c r="Z29" s="118">
        <f>D29+$O$26*$E$9*($H$9-$D$9)</f>
        <v>0</v>
      </c>
      <c r="AA29" s="97">
        <f t="shared" si="14"/>
        <v>0</v>
      </c>
      <c r="AB29" s="137">
        <f>S29+$O$26*$E$9*($F$9*1000/8760)</f>
        <v>0</v>
      </c>
      <c r="AC29" s="97">
        <f t="shared" si="15"/>
        <v>0</v>
      </c>
      <c r="AD29" s="99">
        <f t="shared" si="16"/>
        <v>0</v>
      </c>
    </row>
    <row r="30" spans="1:30" x14ac:dyDescent="0.25">
      <c r="A30" s="10"/>
      <c r="B30" s="112" t="s">
        <v>24</v>
      </c>
      <c r="C30" s="18">
        <f>SUM(C26:C29)</f>
        <v>224.11899999999997</v>
      </c>
      <c r="D30" s="35">
        <f>SUM(D26:D29)</f>
        <v>0</v>
      </c>
      <c r="E30" s="12">
        <f>SUM(E26:E29)</f>
        <v>0</v>
      </c>
      <c r="F30" s="90"/>
      <c r="G30" s="90"/>
      <c r="H30" s="90"/>
      <c r="I30" s="11"/>
      <c r="J30" s="11"/>
      <c r="K30" s="9"/>
      <c r="L30" s="9"/>
      <c r="M30" s="9"/>
      <c r="N30" s="6"/>
      <c r="O30" s="6"/>
      <c r="P30" s="90"/>
      <c r="Q30" s="100">
        <f>SUMPRODUCT($C26:$C29,Q26:Q29)/$C30</f>
        <v>0</v>
      </c>
      <c r="R30" s="101">
        <f>SUM(R25:R29)</f>
        <v>0</v>
      </c>
      <c r="S30" s="100">
        <f>SUMPRODUCT($C26:$C29,S26:S29)/$C30</f>
        <v>0</v>
      </c>
      <c r="T30" s="101">
        <f t="shared" ref="T30:X30" si="21">SUM(T26:T29)</f>
        <v>0</v>
      </c>
      <c r="U30" s="101">
        <f t="shared" si="21"/>
        <v>0</v>
      </c>
      <c r="V30" s="101">
        <f t="shared" si="21"/>
        <v>0</v>
      </c>
      <c r="W30" s="101">
        <f t="shared" si="21"/>
        <v>0</v>
      </c>
      <c r="X30" s="101">
        <f t="shared" si="21"/>
        <v>0</v>
      </c>
      <c r="Y30" s="95"/>
      <c r="Z30" s="102">
        <f>SUMPRODUCT($C26:$C29,Z26:Z29)/$C30</f>
        <v>0</v>
      </c>
      <c r="AA30" s="101">
        <f>SUM(AA26:AA29)</f>
        <v>0</v>
      </c>
      <c r="AB30" s="102">
        <f>SUMPRODUCT($C26:$C29,AB26:AB29)/$C30</f>
        <v>0</v>
      </c>
      <c r="AC30" s="101">
        <f t="shared" ref="AC30:AD30" si="22">SUM(AC26:AC29)</f>
        <v>0</v>
      </c>
      <c r="AD30" s="101">
        <f t="shared" si="22"/>
        <v>0</v>
      </c>
    </row>
    <row r="31" spans="1:30" x14ac:dyDescent="0.25">
      <c r="A31" s="90"/>
      <c r="B31" s="90"/>
      <c r="C31" s="103"/>
      <c r="D31" s="90"/>
      <c r="E31" s="90"/>
      <c r="F31" s="90"/>
      <c r="G31" s="90"/>
      <c r="H31" s="90"/>
      <c r="I31" s="90"/>
      <c r="J31" s="90"/>
      <c r="K31" s="90"/>
      <c r="L31" s="90"/>
      <c r="M31" s="90"/>
      <c r="N31" s="90"/>
      <c r="O31" s="90"/>
      <c r="P31" s="90"/>
      <c r="Q31" s="95"/>
      <c r="R31" s="95"/>
      <c r="S31" s="95"/>
      <c r="T31" s="95"/>
      <c r="U31" s="95"/>
      <c r="V31" s="95"/>
      <c r="W31" s="95"/>
      <c r="X31" s="95"/>
      <c r="Y31" s="95"/>
      <c r="Z31" s="174" t="s">
        <v>110</v>
      </c>
      <c r="AA31" s="174"/>
      <c r="AB31" s="174"/>
      <c r="AC31" s="174"/>
      <c r="AD31" s="174"/>
    </row>
    <row r="32" spans="1:30" ht="17.25" x14ac:dyDescent="0.3">
      <c r="A32" s="152" t="s">
        <v>96</v>
      </c>
      <c r="B32" s="152"/>
      <c r="C32" s="152"/>
      <c r="D32" s="152"/>
      <c r="E32" s="152"/>
      <c r="F32" s="152"/>
      <c r="G32" s="152"/>
      <c r="H32" s="152"/>
      <c r="I32" s="152"/>
      <c r="J32" s="152"/>
      <c r="K32" s="152"/>
      <c r="L32" s="152"/>
      <c r="M32" s="152"/>
      <c r="N32" s="152"/>
      <c r="O32" s="152"/>
      <c r="P32" s="90"/>
      <c r="Q32" s="177" t="str">
        <f>+A32</f>
        <v>C5 2023</v>
      </c>
      <c r="R32" s="177"/>
      <c r="S32" s="177"/>
      <c r="T32" s="177"/>
      <c r="U32" s="177"/>
      <c r="V32" s="177"/>
      <c r="W32" s="177"/>
      <c r="X32" s="177"/>
      <c r="Y32" s="95"/>
      <c r="Z32" s="177" t="str">
        <f>+Q32</f>
        <v>C5 2023</v>
      </c>
      <c r="AA32" s="177"/>
      <c r="AB32" s="177"/>
      <c r="AC32" s="177"/>
      <c r="AD32" s="177"/>
    </row>
    <row r="33" spans="1:30" ht="29.25" customHeight="1" x14ac:dyDescent="0.25">
      <c r="A33" s="91"/>
      <c r="B33" s="91"/>
      <c r="C33" s="91"/>
      <c r="D33" s="153" t="s">
        <v>4</v>
      </c>
      <c r="E33" s="153"/>
      <c r="F33" s="154" t="s">
        <v>5</v>
      </c>
      <c r="G33" s="155"/>
      <c r="H33" s="154" t="s">
        <v>6</v>
      </c>
      <c r="I33" s="154"/>
      <c r="J33" s="108" t="s">
        <v>38</v>
      </c>
      <c r="K33" s="155" t="s">
        <v>7</v>
      </c>
      <c r="L33" s="155"/>
      <c r="M33" s="155" t="s">
        <v>8</v>
      </c>
      <c r="N33" s="155"/>
      <c r="O33" s="155"/>
      <c r="P33" s="90"/>
      <c r="Q33" s="176" t="s">
        <v>100</v>
      </c>
      <c r="R33" s="176"/>
      <c r="S33" s="176"/>
      <c r="T33" s="176"/>
      <c r="U33" s="92" t="s">
        <v>101</v>
      </c>
      <c r="V33" s="92" t="s">
        <v>102</v>
      </c>
      <c r="W33" s="93" t="s">
        <v>90</v>
      </c>
      <c r="X33" s="92" t="s">
        <v>54</v>
      </c>
      <c r="Y33" s="95"/>
      <c r="Z33" s="176" t="s">
        <v>4</v>
      </c>
      <c r="AA33" s="176"/>
      <c r="AB33" s="176" t="s">
        <v>100</v>
      </c>
      <c r="AC33" s="176"/>
      <c r="AD33" s="92" t="s">
        <v>54</v>
      </c>
    </row>
    <row r="34" spans="1:30" ht="42" customHeight="1" x14ac:dyDescent="0.25">
      <c r="A34" s="110" t="s">
        <v>9</v>
      </c>
      <c r="B34" s="111"/>
      <c r="C34" s="8" t="s">
        <v>10</v>
      </c>
      <c r="D34" s="3" t="s">
        <v>25</v>
      </c>
      <c r="E34" s="3" t="s">
        <v>11</v>
      </c>
      <c r="F34" s="109" t="s">
        <v>12</v>
      </c>
      <c r="G34" s="8" t="s">
        <v>13</v>
      </c>
      <c r="H34" s="8" t="s">
        <v>12</v>
      </c>
      <c r="I34" s="8" t="s">
        <v>13</v>
      </c>
      <c r="J34" s="14" t="s">
        <v>25</v>
      </c>
      <c r="K34" s="8" t="s">
        <v>14</v>
      </c>
      <c r="L34" s="8" t="s">
        <v>15</v>
      </c>
      <c r="M34" s="8" t="s">
        <v>16</v>
      </c>
      <c r="N34" s="8" t="s">
        <v>17</v>
      </c>
      <c r="O34" s="8" t="s">
        <v>18</v>
      </c>
      <c r="P34" s="90"/>
      <c r="Q34" s="92" t="s">
        <v>103</v>
      </c>
      <c r="R34" s="92" t="s">
        <v>104</v>
      </c>
      <c r="S34" s="92" t="s">
        <v>105</v>
      </c>
      <c r="T34" s="92" t="s">
        <v>104</v>
      </c>
      <c r="U34" s="92" t="s">
        <v>104</v>
      </c>
      <c r="V34" s="92" t="s">
        <v>104</v>
      </c>
      <c r="W34" s="93" t="s">
        <v>106</v>
      </c>
      <c r="X34" s="92" t="s">
        <v>107</v>
      </c>
      <c r="Y34" s="95"/>
      <c r="Z34" s="92" t="s">
        <v>108</v>
      </c>
      <c r="AA34" s="92" t="s">
        <v>104</v>
      </c>
      <c r="AB34" s="92" t="s">
        <v>108</v>
      </c>
      <c r="AC34" s="92" t="s">
        <v>104</v>
      </c>
      <c r="AD34" s="92" t="s">
        <v>107</v>
      </c>
    </row>
    <row r="35" spans="1:30" x14ac:dyDescent="0.25">
      <c r="A35" s="114"/>
      <c r="B35" s="15" t="s">
        <v>26</v>
      </c>
      <c r="C35" s="26">
        <f>'Fichier Client'!$S$83</f>
        <v>163.82000000000002</v>
      </c>
      <c r="D35" s="30"/>
      <c r="E35" s="4">
        <f>+C35*D35</f>
        <v>0</v>
      </c>
      <c r="F35" s="29">
        <v>0</v>
      </c>
      <c r="G35" s="28">
        <v>0</v>
      </c>
      <c r="H35" s="29">
        <v>0</v>
      </c>
      <c r="I35" s="31">
        <v>0</v>
      </c>
      <c r="J35" s="156">
        <v>0</v>
      </c>
      <c r="K35" s="156">
        <v>0</v>
      </c>
      <c r="L35" s="156">
        <v>0</v>
      </c>
      <c r="M35" s="149"/>
      <c r="N35" s="147">
        <f>M35*8760</f>
        <v>0</v>
      </c>
      <c r="O35" s="148">
        <f>+N35/C38</f>
        <v>0</v>
      </c>
      <c r="P35" s="90"/>
      <c r="Q35" s="96">
        <f>G35*$F$8*$G$8</f>
        <v>0</v>
      </c>
      <c r="R35" s="97">
        <f>Q35*$C35</f>
        <v>0</v>
      </c>
      <c r="S35" s="98">
        <f>I35*$F$8*$G$8</f>
        <v>0</v>
      </c>
      <c r="T35" s="97">
        <f>S35*$C35</f>
        <v>0</v>
      </c>
      <c r="U35" s="97">
        <f>$J$35*$C35</f>
        <v>0</v>
      </c>
      <c r="V35" s="97">
        <f>($K$35+$L$35)*$C35</f>
        <v>0</v>
      </c>
      <c r="W35" s="97">
        <f>+$N$10*$O$10</f>
        <v>0</v>
      </c>
      <c r="X35" s="99">
        <f>E35+T35+U35+V35+W35</f>
        <v>0</v>
      </c>
      <c r="Y35" s="95"/>
      <c r="Z35" s="118">
        <f>D35+$O$35*$E$8*($H$8-$D$8)</f>
        <v>0</v>
      </c>
      <c r="AA35" s="97">
        <f>$C35*Z35</f>
        <v>0</v>
      </c>
      <c r="AB35" s="137">
        <f>S35+$O$35*$E$8*($F$8*1000/8760)</f>
        <v>0</v>
      </c>
      <c r="AC35" s="97">
        <f>AB35*$C35</f>
        <v>0</v>
      </c>
      <c r="AD35" s="99">
        <f>U35+V35+W35+AA35+AC35</f>
        <v>0</v>
      </c>
    </row>
    <row r="36" spans="1:30" x14ac:dyDescent="0.25">
      <c r="A36" s="159"/>
      <c r="B36" s="15" t="s">
        <v>27</v>
      </c>
      <c r="C36" s="26">
        <f>'Fichier Client'!$T$83</f>
        <v>3.3119999999999998</v>
      </c>
      <c r="D36" s="30"/>
      <c r="E36" s="4">
        <f>+C36*D36</f>
        <v>0</v>
      </c>
      <c r="F36" s="29">
        <v>0</v>
      </c>
      <c r="G36" s="28">
        <v>0</v>
      </c>
      <c r="H36" s="29">
        <v>0</v>
      </c>
      <c r="I36" s="31">
        <v>0</v>
      </c>
      <c r="J36" s="157"/>
      <c r="K36" s="157">
        <v>0</v>
      </c>
      <c r="L36" s="157">
        <v>0</v>
      </c>
      <c r="M36" s="149"/>
      <c r="N36" s="147"/>
      <c r="O36" s="148"/>
      <c r="P36" s="90"/>
      <c r="Q36" s="96">
        <f t="shared" ref="Q36:Q37" si="23">G36*$F$8*$G$8</f>
        <v>0</v>
      </c>
      <c r="R36" s="97">
        <f t="shared" ref="R36:R37" si="24">Q36*$C36</f>
        <v>0</v>
      </c>
      <c r="S36" s="98">
        <f>I36*$F$8*$G$8</f>
        <v>0</v>
      </c>
      <c r="T36" s="97">
        <f>S36*$C36</f>
        <v>0</v>
      </c>
      <c r="U36" s="97">
        <f>$J$35*$C36</f>
        <v>0</v>
      </c>
      <c r="V36" s="97">
        <f>($K$35+$L$35)*$C36</f>
        <v>0</v>
      </c>
      <c r="W36" s="97"/>
      <c r="X36" s="99">
        <f>E36+T36+U36+V36+W36</f>
        <v>0</v>
      </c>
      <c r="Y36" s="95"/>
      <c r="Z36" s="118">
        <f>D36+$O$35*$E$8*($H$8-$D$8)</f>
        <v>0</v>
      </c>
      <c r="AA36" s="97">
        <f t="shared" ref="AA36:AA37" si="25">$C36*Z36</f>
        <v>0</v>
      </c>
      <c r="AB36" s="137">
        <f>S36+$O$35*$E$8*($F$8*1000/8760)</f>
        <v>0</v>
      </c>
      <c r="AC36" s="97">
        <f t="shared" ref="AC36:AC37" si="26">AB36*$C36</f>
        <v>0</v>
      </c>
      <c r="AD36" s="99">
        <f t="shared" ref="AD36:AD37" si="27">U36+V36+W36+AA36+AC36</f>
        <v>0</v>
      </c>
    </row>
    <row r="37" spans="1:30" x14ac:dyDescent="0.25">
      <c r="A37" s="151"/>
      <c r="B37" s="15" t="s">
        <v>28</v>
      </c>
      <c r="C37" s="26">
        <f>'Fichier Client'!$U$83</f>
        <v>1.5449999999999999</v>
      </c>
      <c r="D37" s="30"/>
      <c r="E37" s="4">
        <f>+C37*D37</f>
        <v>0</v>
      </c>
      <c r="F37" s="29">
        <v>0</v>
      </c>
      <c r="G37" s="28">
        <v>0</v>
      </c>
      <c r="H37" s="29">
        <v>0</v>
      </c>
      <c r="I37" s="31">
        <v>0</v>
      </c>
      <c r="J37" s="158"/>
      <c r="K37" s="158">
        <v>0</v>
      </c>
      <c r="L37" s="158">
        <v>0</v>
      </c>
      <c r="M37" s="149"/>
      <c r="N37" s="147"/>
      <c r="O37" s="148"/>
      <c r="P37" s="90"/>
      <c r="Q37" s="96">
        <f t="shared" si="23"/>
        <v>0</v>
      </c>
      <c r="R37" s="97">
        <f t="shared" si="24"/>
        <v>0</v>
      </c>
      <c r="S37" s="98">
        <f t="shared" ref="S37" si="28">I37*$F$8*$G$8</f>
        <v>0</v>
      </c>
      <c r="T37" s="97">
        <f t="shared" ref="T37" si="29">S37*$C37</f>
        <v>0</v>
      </c>
      <c r="U37" s="97">
        <f t="shared" ref="U37" si="30">$J$35*$C37</f>
        <v>0</v>
      </c>
      <c r="V37" s="97">
        <f t="shared" ref="V37" si="31">($K$35+$L$35)*$C37</f>
        <v>0</v>
      </c>
      <c r="W37" s="97"/>
      <c r="X37" s="99">
        <f t="shared" ref="X37" si="32">E37+T37+U37+V37+W37</f>
        <v>0</v>
      </c>
      <c r="Y37" s="95"/>
      <c r="Z37" s="118">
        <f>D37+$O$35*$E$8*($H$8-$D$8)</f>
        <v>0</v>
      </c>
      <c r="AA37" s="97">
        <f t="shared" si="25"/>
        <v>0</v>
      </c>
      <c r="AB37" s="137">
        <f>S37+$O$35*$E$8*($F$8*1000/8760)</f>
        <v>0</v>
      </c>
      <c r="AC37" s="97">
        <f t="shared" si="26"/>
        <v>0</v>
      </c>
      <c r="AD37" s="99">
        <f t="shared" si="27"/>
        <v>0</v>
      </c>
    </row>
    <row r="38" spans="1:30" x14ac:dyDescent="0.25">
      <c r="A38" s="16"/>
      <c r="B38" s="115" t="s">
        <v>24</v>
      </c>
      <c r="C38" s="18">
        <f>SUM(C35:C37)</f>
        <v>168.67700000000002</v>
      </c>
      <c r="D38" s="35">
        <f>SUM(D35:D37)</f>
        <v>0</v>
      </c>
      <c r="E38" s="12">
        <f>SUM(E35:E37)</f>
        <v>0</v>
      </c>
      <c r="F38" s="90"/>
      <c r="G38" s="90"/>
      <c r="H38" s="90"/>
      <c r="I38" s="90"/>
      <c r="J38" s="90"/>
      <c r="K38" s="17"/>
      <c r="L38" s="17"/>
      <c r="M38" s="17"/>
      <c r="N38" s="105"/>
      <c r="O38" s="105"/>
      <c r="P38" s="90"/>
      <c r="Q38" s="100">
        <f>SUMPRODUCT($C35:$C37,Q35:Q37)/$C38</f>
        <v>0</v>
      </c>
      <c r="R38" s="101">
        <f>SUM(R33:R37)</f>
        <v>0</v>
      </c>
      <c r="S38" s="100">
        <f>SUMPRODUCT($C35:$C37,S35:S37)/$C38</f>
        <v>0</v>
      </c>
      <c r="T38" s="101">
        <f>SUM(T35:T37)</f>
        <v>0</v>
      </c>
      <c r="U38" s="101">
        <f>SUM(U35:U37)</f>
        <v>0</v>
      </c>
      <c r="V38" s="101">
        <f>SUM(V35:V37)</f>
        <v>0</v>
      </c>
      <c r="W38" s="101">
        <f>SUM(W35:W37)</f>
        <v>0</v>
      </c>
      <c r="X38" s="101">
        <f>SUM(X35:X37)</f>
        <v>0</v>
      </c>
      <c r="Y38" s="95"/>
      <c r="Z38" s="102">
        <f>SUMPRODUCT($C35:$C37,Z35:Z37)/$C38</f>
        <v>0</v>
      </c>
      <c r="AA38" s="101">
        <f>SUM(AA35:AA37)</f>
        <v>0</v>
      </c>
      <c r="AB38" s="102">
        <f>SUMPRODUCT($C35:$C37,AB35:AB37)/$C38</f>
        <v>0</v>
      </c>
      <c r="AC38" s="101">
        <f t="shared" ref="AC38:AD38" si="33">SUM(AC35:AC37)</f>
        <v>0</v>
      </c>
      <c r="AD38" s="101">
        <f t="shared" si="33"/>
        <v>0</v>
      </c>
    </row>
    <row r="39" spans="1:30" x14ac:dyDescent="0.25">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row>
    <row r="40" spans="1:30" ht="17.25" x14ac:dyDescent="0.3">
      <c r="A40" s="152" t="s">
        <v>97</v>
      </c>
      <c r="B40" s="152"/>
      <c r="C40" s="152"/>
      <c r="D40" s="152"/>
      <c r="E40" s="152"/>
      <c r="F40" s="152"/>
      <c r="G40" s="152"/>
      <c r="H40" s="152"/>
      <c r="I40" s="152"/>
      <c r="J40" s="152"/>
      <c r="K40" s="152"/>
      <c r="L40" s="152"/>
      <c r="M40" s="152"/>
      <c r="N40" s="152"/>
      <c r="O40" s="152"/>
      <c r="P40" s="90"/>
      <c r="Q40" s="177" t="str">
        <f>+A40</f>
        <v>C5 2024</v>
      </c>
      <c r="R40" s="177"/>
      <c r="S40" s="177"/>
      <c r="T40" s="177"/>
      <c r="U40" s="177"/>
      <c r="V40" s="177"/>
      <c r="W40" s="177"/>
      <c r="X40" s="177"/>
      <c r="Y40" s="95"/>
      <c r="Z40" s="177" t="str">
        <f>+Q40</f>
        <v>C5 2024</v>
      </c>
      <c r="AA40" s="177"/>
      <c r="AB40" s="177"/>
      <c r="AC40" s="177"/>
      <c r="AD40" s="177"/>
    </row>
    <row r="41" spans="1:30" ht="29.25" customHeight="1" x14ac:dyDescent="0.25">
      <c r="A41" s="91"/>
      <c r="B41" s="91"/>
      <c r="C41" s="91"/>
      <c r="D41" s="153" t="s">
        <v>4</v>
      </c>
      <c r="E41" s="153"/>
      <c r="F41" s="154" t="s">
        <v>5</v>
      </c>
      <c r="G41" s="155"/>
      <c r="H41" s="154" t="s">
        <v>6</v>
      </c>
      <c r="I41" s="154"/>
      <c r="J41" s="108" t="s">
        <v>38</v>
      </c>
      <c r="K41" s="155" t="s">
        <v>7</v>
      </c>
      <c r="L41" s="155"/>
      <c r="M41" s="155" t="s">
        <v>8</v>
      </c>
      <c r="N41" s="155"/>
      <c r="O41" s="155"/>
      <c r="P41" s="90"/>
      <c r="Q41" s="176" t="s">
        <v>100</v>
      </c>
      <c r="R41" s="176"/>
      <c r="S41" s="176"/>
      <c r="T41" s="176"/>
      <c r="U41" s="92" t="s">
        <v>101</v>
      </c>
      <c r="V41" s="92" t="s">
        <v>102</v>
      </c>
      <c r="W41" s="93" t="s">
        <v>90</v>
      </c>
      <c r="X41" s="92" t="s">
        <v>54</v>
      </c>
      <c r="Y41" s="95"/>
      <c r="Z41" s="176" t="s">
        <v>4</v>
      </c>
      <c r="AA41" s="176"/>
      <c r="AB41" s="176" t="s">
        <v>100</v>
      </c>
      <c r="AC41" s="176"/>
      <c r="AD41" s="92" t="s">
        <v>54</v>
      </c>
    </row>
    <row r="42" spans="1:30" ht="42" customHeight="1" x14ac:dyDescent="0.25">
      <c r="A42" s="110" t="s">
        <v>9</v>
      </c>
      <c r="B42" s="111"/>
      <c r="C42" s="8" t="s">
        <v>10</v>
      </c>
      <c r="D42" s="3" t="s">
        <v>25</v>
      </c>
      <c r="E42" s="3" t="s">
        <v>11</v>
      </c>
      <c r="F42" s="109" t="s">
        <v>12</v>
      </c>
      <c r="G42" s="8" t="s">
        <v>13</v>
      </c>
      <c r="H42" s="8" t="s">
        <v>12</v>
      </c>
      <c r="I42" s="8" t="s">
        <v>13</v>
      </c>
      <c r="J42" s="14" t="s">
        <v>25</v>
      </c>
      <c r="K42" s="8" t="s">
        <v>14</v>
      </c>
      <c r="L42" s="8" t="s">
        <v>15</v>
      </c>
      <c r="M42" s="8" t="s">
        <v>16</v>
      </c>
      <c r="N42" s="8" t="s">
        <v>17</v>
      </c>
      <c r="O42" s="8" t="s">
        <v>18</v>
      </c>
      <c r="P42" s="90"/>
      <c r="Q42" s="92" t="s">
        <v>103</v>
      </c>
      <c r="R42" s="92" t="s">
        <v>104</v>
      </c>
      <c r="S42" s="92" t="s">
        <v>105</v>
      </c>
      <c r="T42" s="92" t="s">
        <v>104</v>
      </c>
      <c r="U42" s="92" t="s">
        <v>104</v>
      </c>
      <c r="V42" s="92" t="s">
        <v>104</v>
      </c>
      <c r="W42" s="93" t="s">
        <v>106</v>
      </c>
      <c r="X42" s="92" t="s">
        <v>107</v>
      </c>
      <c r="Y42" s="95"/>
      <c r="Z42" s="92" t="s">
        <v>108</v>
      </c>
      <c r="AA42" s="92" t="s">
        <v>104</v>
      </c>
      <c r="AB42" s="92" t="s">
        <v>108</v>
      </c>
      <c r="AC42" s="92" t="s">
        <v>104</v>
      </c>
      <c r="AD42" s="92" t="s">
        <v>107</v>
      </c>
    </row>
    <row r="43" spans="1:30" x14ac:dyDescent="0.25">
      <c r="A43" s="104"/>
      <c r="B43" s="15" t="s">
        <v>26</v>
      </c>
      <c r="C43" s="26">
        <f>'Fichier Client'!$S$83</f>
        <v>163.82000000000002</v>
      </c>
      <c r="D43" s="30"/>
      <c r="E43" s="4">
        <f>+C43*D43</f>
        <v>0</v>
      </c>
      <c r="F43" s="29">
        <v>0</v>
      </c>
      <c r="G43" s="28">
        <v>0</v>
      </c>
      <c r="H43" s="29">
        <v>0</v>
      </c>
      <c r="I43" s="31">
        <v>0</v>
      </c>
      <c r="J43" s="156">
        <v>0</v>
      </c>
      <c r="K43" s="156">
        <v>0</v>
      </c>
      <c r="L43" s="156">
        <v>0</v>
      </c>
      <c r="M43" s="149"/>
      <c r="N43" s="147">
        <f>M43*8760</f>
        <v>0</v>
      </c>
      <c r="O43" s="148">
        <f>+N43/C46</f>
        <v>0</v>
      </c>
      <c r="P43" s="90"/>
      <c r="Q43" s="96">
        <f>G43*$F$8*$G$8</f>
        <v>0</v>
      </c>
      <c r="R43" s="97">
        <f>Q43*$C43</f>
        <v>0</v>
      </c>
      <c r="S43" s="98">
        <f>I43*$F$9*$G$9</f>
        <v>0</v>
      </c>
      <c r="T43" s="97">
        <f>S43*$C43</f>
        <v>0</v>
      </c>
      <c r="U43" s="97">
        <f>$J$43*$C43</f>
        <v>0</v>
      </c>
      <c r="V43" s="97">
        <f>($K$43+$L$43)*$C43</f>
        <v>0</v>
      </c>
      <c r="W43" s="97">
        <f>+$N$10*$O$10</f>
        <v>0</v>
      </c>
      <c r="X43" s="99">
        <f>E43+T43+U43+V43+W43</f>
        <v>0</v>
      </c>
      <c r="Y43" s="95"/>
      <c r="Z43" s="118">
        <f>D43+$O$43*$E$9*($H$9-$D$9)</f>
        <v>0</v>
      </c>
      <c r="AA43" s="97">
        <f>$C43*Z43</f>
        <v>0</v>
      </c>
      <c r="AB43" s="137">
        <f>S43+$O$43*$E$9*($F$9*1000/8760)</f>
        <v>0</v>
      </c>
      <c r="AC43" s="97">
        <f>AB43*$C43</f>
        <v>0</v>
      </c>
      <c r="AD43" s="99">
        <f>U43+V43+W43+AA43+AC43</f>
        <v>0</v>
      </c>
    </row>
    <row r="44" spans="1:30" x14ac:dyDescent="0.25">
      <c r="A44" s="150"/>
      <c r="B44" s="15" t="s">
        <v>27</v>
      </c>
      <c r="C44" s="26">
        <f>'Fichier Client'!$T$83</f>
        <v>3.3119999999999998</v>
      </c>
      <c r="D44" s="30"/>
      <c r="E44" s="4">
        <f>+C44*D44</f>
        <v>0</v>
      </c>
      <c r="F44" s="29">
        <v>0</v>
      </c>
      <c r="G44" s="28">
        <v>0</v>
      </c>
      <c r="H44" s="29">
        <v>0</v>
      </c>
      <c r="I44" s="31">
        <v>0</v>
      </c>
      <c r="J44" s="157">
        <v>0</v>
      </c>
      <c r="K44" s="157">
        <v>0</v>
      </c>
      <c r="L44" s="157">
        <v>0</v>
      </c>
      <c r="M44" s="149"/>
      <c r="N44" s="147"/>
      <c r="O44" s="148"/>
      <c r="P44" s="90"/>
      <c r="Q44" s="96">
        <f>G44*$F$8*$G$8</f>
        <v>0</v>
      </c>
      <c r="R44" s="97">
        <f>Q44*$C44</f>
        <v>0</v>
      </c>
      <c r="S44" s="98">
        <f>I44*$F$9*$G$9</f>
        <v>0</v>
      </c>
      <c r="T44" s="97">
        <f>S44*$C44</f>
        <v>0</v>
      </c>
      <c r="U44" s="97">
        <f>$J$43*$C44</f>
        <v>0</v>
      </c>
      <c r="V44" s="97">
        <f>($K$43+$L$43)*$C44</f>
        <v>0</v>
      </c>
      <c r="W44" s="97"/>
      <c r="X44" s="99">
        <f>E44+T44+U44+V44+W44</f>
        <v>0</v>
      </c>
      <c r="Y44" s="95"/>
      <c r="Z44" s="118">
        <f>D44+$O$43*$E$9*($H$9-$D$9)</f>
        <v>0</v>
      </c>
      <c r="AA44" s="97">
        <f t="shared" ref="AA44:AA45" si="34">$C44*Z44</f>
        <v>0</v>
      </c>
      <c r="AB44" s="137">
        <f>S44+$O$43*$E$9*($F$9*1000/8760)</f>
        <v>0</v>
      </c>
      <c r="AC44" s="97">
        <f>AB44*$C44</f>
        <v>0</v>
      </c>
      <c r="AD44" s="99">
        <f>U44+V44+W44+AA44+AC44</f>
        <v>0</v>
      </c>
    </row>
    <row r="45" spans="1:30" x14ac:dyDescent="0.25">
      <c r="A45" s="151"/>
      <c r="B45" s="15" t="s">
        <v>28</v>
      </c>
      <c r="C45" s="26">
        <f>'Fichier Client'!$U$83</f>
        <v>1.5449999999999999</v>
      </c>
      <c r="D45" s="30"/>
      <c r="E45" s="4">
        <f>+C45*D45</f>
        <v>0</v>
      </c>
      <c r="F45" s="29">
        <v>0</v>
      </c>
      <c r="G45" s="28">
        <v>0</v>
      </c>
      <c r="H45" s="29">
        <v>0</v>
      </c>
      <c r="I45" s="31">
        <v>0</v>
      </c>
      <c r="J45" s="158">
        <v>0</v>
      </c>
      <c r="K45" s="158">
        <v>0</v>
      </c>
      <c r="L45" s="158">
        <v>0</v>
      </c>
      <c r="M45" s="149"/>
      <c r="N45" s="147"/>
      <c r="O45" s="148"/>
      <c r="P45" s="90"/>
      <c r="Q45" s="96">
        <f>G45*$F$8*$G$8</f>
        <v>0</v>
      </c>
      <c r="R45" s="97">
        <f>Q45*$C45</f>
        <v>0</v>
      </c>
      <c r="S45" s="98">
        <f>I45*$F$9*$G$9</f>
        <v>0</v>
      </c>
      <c r="T45" s="97">
        <f>S45*$C45</f>
        <v>0</v>
      </c>
      <c r="U45" s="97">
        <f>$J$43*$C45</f>
        <v>0</v>
      </c>
      <c r="V45" s="97">
        <f>($K$43+$L$43)*$C45</f>
        <v>0</v>
      </c>
      <c r="W45" s="97"/>
      <c r="X45" s="99">
        <f>E45+T45+U45+V45+W45</f>
        <v>0</v>
      </c>
      <c r="Y45" s="95"/>
      <c r="Z45" s="118">
        <f>D45+$O$43*$E$9*($H$9-$D$9)</f>
        <v>0</v>
      </c>
      <c r="AA45" s="97">
        <f t="shared" si="34"/>
        <v>0</v>
      </c>
      <c r="AB45" s="137">
        <f>S45+$O$43*$E$9*($F$9*1000/8760)</f>
        <v>0</v>
      </c>
      <c r="AC45" s="97">
        <f t="shared" ref="AC45" si="35">AB45*$C45</f>
        <v>0</v>
      </c>
      <c r="AD45" s="99">
        <f t="shared" ref="AD45" si="36">U45+V45+W45+AA45+AC45</f>
        <v>0</v>
      </c>
    </row>
    <row r="46" spans="1:30" x14ac:dyDescent="0.25">
      <c r="A46" s="16"/>
      <c r="B46" s="115" t="s">
        <v>24</v>
      </c>
      <c r="C46" s="18">
        <f>SUM(C43:C45)</f>
        <v>168.67700000000002</v>
      </c>
      <c r="D46" s="35">
        <f>SUM(D43:D45)</f>
        <v>0</v>
      </c>
      <c r="E46" s="12">
        <f>SUM(E43:E45)</f>
        <v>0</v>
      </c>
      <c r="F46" s="90"/>
      <c r="G46" s="90"/>
      <c r="H46" s="90"/>
      <c r="I46" s="90"/>
      <c r="J46" s="90"/>
      <c r="K46" s="17"/>
      <c r="L46" s="17"/>
      <c r="M46" s="17"/>
      <c r="N46" s="105"/>
      <c r="O46" s="105"/>
      <c r="P46" s="90"/>
      <c r="Q46" s="100">
        <f>SUMPRODUCT($C43:$C45,Q43:Q45)/$C46</f>
        <v>0</v>
      </c>
      <c r="R46" s="101">
        <f>SUM(R43:R45)</f>
        <v>0</v>
      </c>
      <c r="S46" s="100">
        <f>SUMPRODUCT($C43:$C45,S43:S45)/$C46</f>
        <v>0</v>
      </c>
      <c r="T46" s="101">
        <f>SUM(T43:T45)</f>
        <v>0</v>
      </c>
      <c r="U46" s="101">
        <f>SUM(U43:U45)</f>
        <v>0</v>
      </c>
      <c r="V46" s="101">
        <f>SUM(V43:V45)</f>
        <v>0</v>
      </c>
      <c r="W46" s="101">
        <f>SUM(W43:W45)</f>
        <v>0</v>
      </c>
      <c r="X46" s="101">
        <f>SUM(X43:X45)</f>
        <v>0</v>
      </c>
      <c r="Y46" s="95"/>
      <c r="Z46" s="102">
        <f>SUMPRODUCT($C43:$C45,Z43:Z45)/$C46</f>
        <v>0</v>
      </c>
      <c r="AA46" s="101">
        <f>SUM(AA43:AA45)</f>
        <v>0</v>
      </c>
      <c r="AB46" s="102">
        <f>SUMPRODUCT($C43:$C45,AB43:AB45)/$C46</f>
        <v>0</v>
      </c>
      <c r="AC46" s="101">
        <f t="shared" ref="AC46:AD46" si="37">SUM(AC43:AC45)</f>
        <v>0</v>
      </c>
      <c r="AD46" s="101">
        <f t="shared" si="37"/>
        <v>0</v>
      </c>
    </row>
    <row r="47" spans="1:30" x14ac:dyDescent="0.2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row>
    <row r="48" spans="1:30" x14ac:dyDescent="0.25">
      <c r="A48" s="90"/>
      <c r="B48" s="90"/>
      <c r="C48" s="90"/>
      <c r="D48" s="90"/>
      <c r="E48" s="90"/>
      <c r="F48" s="90"/>
      <c r="G48" s="90"/>
      <c r="H48" s="90"/>
      <c r="I48" s="90"/>
      <c r="J48" s="90"/>
      <c r="K48" s="90"/>
      <c r="L48" s="90"/>
      <c r="M48" s="90"/>
      <c r="N48" s="90"/>
      <c r="O48" s="90"/>
      <c r="P48" s="90"/>
      <c r="Q48" s="178" t="s">
        <v>111</v>
      </c>
      <c r="R48" s="178"/>
      <c r="S48" s="178"/>
      <c r="T48" s="178"/>
      <c r="U48" s="178"/>
      <c r="V48" s="178"/>
      <c r="W48" s="178"/>
      <c r="X48" s="178"/>
      <c r="Y48" s="95"/>
      <c r="Z48" s="178"/>
      <c r="AA48" s="178"/>
      <c r="AB48" s="178"/>
      <c r="AC48" s="178"/>
      <c r="AD48" s="178"/>
    </row>
    <row r="49" spans="1:30" ht="30" x14ac:dyDescent="0.25">
      <c r="A49" s="90"/>
      <c r="B49" s="90"/>
      <c r="C49" s="90"/>
      <c r="D49" s="90"/>
      <c r="E49" s="90"/>
      <c r="F49" s="90"/>
      <c r="G49" s="90"/>
      <c r="H49" s="90"/>
      <c r="I49" s="90"/>
      <c r="J49" s="90"/>
      <c r="K49" s="90"/>
      <c r="L49" s="90"/>
      <c r="M49" s="90"/>
      <c r="N49" s="90"/>
      <c r="O49" s="90"/>
      <c r="P49" s="90"/>
      <c r="Q49" s="176" t="s">
        <v>112</v>
      </c>
      <c r="R49" s="92" t="s">
        <v>113</v>
      </c>
      <c r="S49" s="92" t="s">
        <v>114</v>
      </c>
      <c r="T49" s="92" t="s">
        <v>115</v>
      </c>
      <c r="U49" s="92" t="s">
        <v>101</v>
      </c>
      <c r="V49" s="92" t="s">
        <v>102</v>
      </c>
      <c r="W49" s="93" t="s">
        <v>90</v>
      </c>
      <c r="X49" s="92" t="s">
        <v>54</v>
      </c>
      <c r="Y49" s="95"/>
      <c r="Z49" s="95"/>
      <c r="AA49" s="92" t="s">
        <v>113</v>
      </c>
      <c r="AB49" s="95"/>
      <c r="AC49" s="92" t="s">
        <v>100</v>
      </c>
      <c r="AD49" s="92" t="s">
        <v>54</v>
      </c>
    </row>
    <row r="50" spans="1:30" ht="30" x14ac:dyDescent="0.25">
      <c r="A50" s="90"/>
      <c r="B50" s="90"/>
      <c r="C50" s="90"/>
      <c r="D50" s="90"/>
      <c r="E50" s="90"/>
      <c r="F50" s="90"/>
      <c r="G50" s="90"/>
      <c r="H50" s="90"/>
      <c r="I50" s="90"/>
      <c r="J50" s="90"/>
      <c r="K50" s="90"/>
      <c r="L50" s="90"/>
      <c r="M50" s="90"/>
      <c r="N50" s="90"/>
      <c r="O50" s="90"/>
      <c r="P50" s="90"/>
      <c r="Q50" s="176"/>
      <c r="R50" s="92" t="s">
        <v>25</v>
      </c>
      <c r="S50" s="92" t="s">
        <v>25</v>
      </c>
      <c r="T50" s="92" t="s">
        <v>25</v>
      </c>
      <c r="U50" s="92" t="s">
        <v>25</v>
      </c>
      <c r="V50" s="92" t="s">
        <v>25</v>
      </c>
      <c r="W50" s="93" t="s">
        <v>106</v>
      </c>
      <c r="X50" s="92" t="s">
        <v>107</v>
      </c>
      <c r="Y50" s="95"/>
      <c r="Z50" s="95"/>
      <c r="AA50" s="92" t="s">
        <v>104</v>
      </c>
      <c r="AB50" s="95"/>
      <c r="AC50" s="92" t="s">
        <v>104</v>
      </c>
      <c r="AD50" s="92" t="s">
        <v>107</v>
      </c>
    </row>
    <row r="51" spans="1:30" x14ac:dyDescent="0.25">
      <c r="A51" s="90"/>
      <c r="B51" s="90"/>
      <c r="C51" s="90"/>
      <c r="D51" s="90"/>
      <c r="E51" s="90"/>
      <c r="F51" s="90"/>
      <c r="G51" s="90"/>
      <c r="H51" s="90"/>
      <c r="I51" s="90"/>
      <c r="J51" s="90"/>
      <c r="K51" s="90"/>
      <c r="L51" s="90"/>
      <c r="M51" s="90"/>
      <c r="N51" s="90"/>
      <c r="O51" s="90"/>
      <c r="P51" s="90"/>
      <c r="Q51" s="88">
        <v>2023</v>
      </c>
      <c r="R51" s="97">
        <f>E21+E38</f>
        <v>0</v>
      </c>
      <c r="S51" s="97">
        <f>R21+R38</f>
        <v>0</v>
      </c>
      <c r="T51" s="97">
        <f>T21+T38</f>
        <v>0</v>
      </c>
      <c r="U51" s="97">
        <f>U21+U38</f>
        <v>0</v>
      </c>
      <c r="V51" s="97">
        <f>V21+V38</f>
        <v>0</v>
      </c>
      <c r="W51" s="97">
        <f>W21+W38</f>
        <v>0</v>
      </c>
      <c r="X51" s="99">
        <f>+R51+T51+U51+V51+W51</f>
        <v>0</v>
      </c>
      <c r="Y51" s="106"/>
      <c r="Z51" s="106"/>
      <c r="AA51" s="97">
        <f>AA21+AA38</f>
        <v>0</v>
      </c>
      <c r="AB51" s="106"/>
      <c r="AC51" s="97">
        <f>AC21+AC38</f>
        <v>0</v>
      </c>
      <c r="AD51" s="99">
        <f>U51+V51+W51+AA51+AC51</f>
        <v>0</v>
      </c>
    </row>
    <row r="52" spans="1:30" x14ac:dyDescent="0.25">
      <c r="A52" s="90"/>
      <c r="B52" s="90"/>
      <c r="C52" s="90"/>
      <c r="D52" s="90"/>
      <c r="E52" s="90"/>
      <c r="F52" s="90"/>
      <c r="G52" s="90"/>
      <c r="H52" s="90"/>
      <c r="I52" s="90"/>
      <c r="J52" s="90"/>
      <c r="K52" s="90"/>
      <c r="L52" s="90"/>
      <c r="M52" s="90"/>
      <c r="N52" s="90"/>
      <c r="O52" s="90"/>
      <c r="P52" s="90"/>
      <c r="Q52" s="88">
        <v>2024</v>
      </c>
      <c r="R52" s="97">
        <f>E30+E46</f>
        <v>0</v>
      </c>
      <c r="S52" s="97">
        <f>R30+R46</f>
        <v>0</v>
      </c>
      <c r="T52" s="97">
        <f>T30+T46</f>
        <v>0</v>
      </c>
      <c r="U52" s="97">
        <f>U30+U46</f>
        <v>0</v>
      </c>
      <c r="V52" s="97">
        <f>V30+V46</f>
        <v>0</v>
      </c>
      <c r="W52" s="97">
        <f>W30+W46</f>
        <v>0</v>
      </c>
      <c r="X52" s="99">
        <f>+R52+T52+U52+V52+W52</f>
        <v>0</v>
      </c>
      <c r="Y52" s="106"/>
      <c r="Z52" s="106"/>
      <c r="AA52" s="97">
        <f>AA30+AA46</f>
        <v>0</v>
      </c>
      <c r="AB52" s="106"/>
      <c r="AC52" s="97">
        <f>AC30+AC46</f>
        <v>0</v>
      </c>
      <c r="AD52" s="99">
        <f>U52+V52+W52+AA52+AC52</f>
        <v>0</v>
      </c>
    </row>
    <row r="53" spans="1:30" x14ac:dyDescent="0.25">
      <c r="A53" s="90"/>
      <c r="B53" s="90"/>
      <c r="C53" s="90"/>
      <c r="D53" s="90"/>
      <c r="E53" s="90"/>
      <c r="F53" s="90"/>
      <c r="G53" s="90"/>
      <c r="H53" s="90"/>
      <c r="I53" s="90"/>
      <c r="J53" s="90"/>
      <c r="K53" s="90"/>
      <c r="L53" s="90"/>
      <c r="M53" s="90"/>
      <c r="N53" s="90"/>
      <c r="O53" s="90"/>
      <c r="P53" s="90"/>
      <c r="Q53" s="88" t="s">
        <v>54</v>
      </c>
      <c r="R53" s="101">
        <f t="shared" ref="R53:X53" si="38">SUM(R51:R52)</f>
        <v>0</v>
      </c>
      <c r="S53" s="101">
        <f t="shared" si="38"/>
        <v>0</v>
      </c>
      <c r="T53" s="101">
        <f t="shared" si="38"/>
        <v>0</v>
      </c>
      <c r="U53" s="101">
        <f t="shared" si="38"/>
        <v>0</v>
      </c>
      <c r="V53" s="101">
        <f t="shared" si="38"/>
        <v>0</v>
      </c>
      <c r="W53" s="101">
        <f t="shared" si="38"/>
        <v>0</v>
      </c>
      <c r="X53" s="101">
        <f t="shared" si="38"/>
        <v>0</v>
      </c>
      <c r="Y53" s="95"/>
      <c r="Z53" s="101"/>
      <c r="AA53" s="107">
        <f>SUM(AA51:AA52)</f>
        <v>0</v>
      </c>
      <c r="AB53" s="101"/>
      <c r="AC53" s="101">
        <f>SUM(AC51:AC52)</f>
        <v>0</v>
      </c>
      <c r="AD53" s="101">
        <f>SUM(AD51:AD52)</f>
        <v>0</v>
      </c>
    </row>
    <row r="54" spans="1:30" x14ac:dyDescent="0.25">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sheetData>
  <mergeCells count="84">
    <mergeCell ref="Q48:X48"/>
    <mergeCell ref="Z48:AD48"/>
    <mergeCell ref="Q49:Q50"/>
    <mergeCell ref="J17:J20"/>
    <mergeCell ref="K17:K20"/>
    <mergeCell ref="L17:L20"/>
    <mergeCell ref="J26:J29"/>
    <mergeCell ref="K26:K29"/>
    <mergeCell ref="L26:L29"/>
    <mergeCell ref="J35:J37"/>
    <mergeCell ref="Q40:X40"/>
    <mergeCell ref="Z40:AD40"/>
    <mergeCell ref="Q41:T41"/>
    <mergeCell ref="Z41:AA41"/>
    <mergeCell ref="AB41:AC41"/>
    <mergeCell ref="Z31:AD31"/>
    <mergeCell ref="Q33:T33"/>
    <mergeCell ref="Z33:AA33"/>
    <mergeCell ref="AB33:AC33"/>
    <mergeCell ref="Q23:X23"/>
    <mergeCell ref="Z23:AD23"/>
    <mergeCell ref="Q24:T24"/>
    <mergeCell ref="Z24:AA24"/>
    <mergeCell ref="AB24:AC24"/>
    <mergeCell ref="Q32:X32"/>
    <mergeCell ref="Z32:AD32"/>
    <mergeCell ref="A17:A18"/>
    <mergeCell ref="N17:N20"/>
    <mergeCell ref="M17:M20"/>
    <mergeCell ref="Z12:AD12"/>
    <mergeCell ref="Q12:X12"/>
    <mergeCell ref="Z13:AD13"/>
    <mergeCell ref="Q14:X14"/>
    <mergeCell ref="Z14:AD14"/>
    <mergeCell ref="Q15:T15"/>
    <mergeCell ref="Z15:AA15"/>
    <mergeCell ref="AB15:AC15"/>
    <mergeCell ref="O17:O20"/>
    <mergeCell ref="A1:O1"/>
    <mergeCell ref="D15:E15"/>
    <mergeCell ref="A2:D2"/>
    <mergeCell ref="A14:O14"/>
    <mergeCell ref="A12:O12"/>
    <mergeCell ref="F15:G15"/>
    <mergeCell ref="H15:I15"/>
    <mergeCell ref="K15:L15"/>
    <mergeCell ref="M15:O15"/>
    <mergeCell ref="M7:N7"/>
    <mergeCell ref="J6:N6"/>
    <mergeCell ref="A23:O23"/>
    <mergeCell ref="D24:E24"/>
    <mergeCell ref="F24:G24"/>
    <mergeCell ref="H24:I24"/>
    <mergeCell ref="K24:L24"/>
    <mergeCell ref="M24:O24"/>
    <mergeCell ref="L43:L45"/>
    <mergeCell ref="O35:O37"/>
    <mergeCell ref="A32:O32"/>
    <mergeCell ref="D33:E33"/>
    <mergeCell ref="F33:G33"/>
    <mergeCell ref="H33:I33"/>
    <mergeCell ref="K33:L33"/>
    <mergeCell ref="M33:O33"/>
    <mergeCell ref="A36:A37"/>
    <mergeCell ref="M35:M37"/>
    <mergeCell ref="N35:N37"/>
    <mergeCell ref="K35:K37"/>
    <mergeCell ref="L35:L37"/>
    <mergeCell ref="A26:A27"/>
    <mergeCell ref="M26:M29"/>
    <mergeCell ref="N26:N29"/>
    <mergeCell ref="O26:O29"/>
    <mergeCell ref="M43:M45"/>
    <mergeCell ref="N43:N45"/>
    <mergeCell ref="O43:O45"/>
    <mergeCell ref="A44:A45"/>
    <mergeCell ref="A40:O40"/>
    <mergeCell ref="D41:E41"/>
    <mergeCell ref="F41:G41"/>
    <mergeCell ref="H41:I41"/>
    <mergeCell ref="K41:L41"/>
    <mergeCell ref="M41:O41"/>
    <mergeCell ref="J43:J45"/>
    <mergeCell ref="K43:K45"/>
  </mergeCells>
  <dataValidations count="1">
    <dataValidation type="list" allowBlank="1" showInputMessage="1" showErrorMessage="1" sqref="C4" xr:uid="{97CE38DD-CAEA-4974-A944-071E18F679F8}">
      <formula1>"Indicative , Ferme"</formula1>
    </dataValidation>
  </dataValidation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86804-77F8-445F-89BD-3B40DE90F22F}">
  <sheetPr>
    <pageSetUpPr fitToPage="1"/>
  </sheetPr>
  <dimension ref="A1:AD36"/>
  <sheetViews>
    <sheetView zoomScale="80" zoomScaleNormal="80" workbookViewId="0">
      <selection activeCell="O10" sqref="O10"/>
    </sheetView>
  </sheetViews>
  <sheetFormatPr baseColWidth="10" defaultRowHeight="15" outlineLevelCol="1" x14ac:dyDescent="0.25"/>
  <cols>
    <col min="1" max="1" width="27" customWidth="1"/>
    <col min="2" max="2" width="20" customWidth="1"/>
    <col min="3" max="5" width="14.140625" customWidth="1"/>
    <col min="6" max="6" width="10.5703125" customWidth="1"/>
    <col min="17" max="30" width="11.42578125" customWidth="1" outlineLevel="1"/>
  </cols>
  <sheetData>
    <row r="1" spans="1:30" s="13" customFormat="1" ht="31.9" customHeight="1" thickBot="1" x14ac:dyDescent="0.3">
      <c r="A1" s="161" t="s">
        <v>277</v>
      </c>
      <c r="B1" s="162"/>
      <c r="C1" s="162"/>
      <c r="D1" s="162"/>
      <c r="E1" s="162"/>
      <c r="F1" s="162"/>
      <c r="G1" s="162"/>
      <c r="H1" s="162"/>
      <c r="I1" s="162"/>
      <c r="J1" s="162"/>
      <c r="K1" s="162"/>
      <c r="L1" s="162"/>
      <c r="M1" s="162"/>
      <c r="N1" s="162"/>
      <c r="O1" s="163"/>
    </row>
    <row r="2" spans="1:30" x14ac:dyDescent="0.25">
      <c r="A2" s="164" t="s">
        <v>46</v>
      </c>
      <c r="B2" s="164"/>
      <c r="C2" s="164"/>
      <c r="D2" s="164"/>
    </row>
    <row r="3" spans="1:30" ht="34.5" x14ac:dyDescent="0.25">
      <c r="A3" s="1" t="s">
        <v>0</v>
      </c>
      <c r="B3" s="2" t="s">
        <v>1</v>
      </c>
      <c r="C3" s="2" t="s">
        <v>45</v>
      </c>
      <c r="D3" s="2" t="s">
        <v>2</v>
      </c>
    </row>
    <row r="4" spans="1:30" ht="21" x14ac:dyDescent="0.25">
      <c r="A4" s="32"/>
      <c r="B4" s="33"/>
      <c r="C4" s="34"/>
      <c r="D4" s="33"/>
    </row>
    <row r="6" spans="1:30" ht="43.5" customHeight="1" x14ac:dyDescent="0.25">
      <c r="C6" s="80"/>
      <c r="D6" s="80"/>
      <c r="E6" s="80"/>
      <c r="F6" s="80"/>
      <c r="G6" s="81"/>
      <c r="H6" s="81"/>
      <c r="I6" s="81"/>
      <c r="J6" s="169" t="s">
        <v>42</v>
      </c>
      <c r="K6" s="170"/>
      <c r="L6" s="170"/>
      <c r="M6" s="170"/>
      <c r="N6" s="171"/>
    </row>
    <row r="7" spans="1:30" ht="45" x14ac:dyDescent="0.25">
      <c r="A7" s="82"/>
      <c r="B7" s="82" t="s">
        <v>39</v>
      </c>
      <c r="C7" s="82" t="s">
        <v>40</v>
      </c>
      <c r="D7" s="82" t="s">
        <v>41</v>
      </c>
      <c r="E7" s="83" t="s">
        <v>43</v>
      </c>
      <c r="F7" s="83" t="s">
        <v>44</v>
      </c>
      <c r="G7" s="83" t="s">
        <v>86</v>
      </c>
      <c r="H7" s="83" t="s">
        <v>87</v>
      </c>
      <c r="I7" s="80"/>
      <c r="J7" s="84" t="s">
        <v>88</v>
      </c>
      <c r="K7" s="83" t="s">
        <v>89</v>
      </c>
      <c r="L7" s="83" t="s">
        <v>29</v>
      </c>
      <c r="M7" s="167" t="s">
        <v>93</v>
      </c>
      <c r="N7" s="168"/>
      <c r="O7" s="116" t="s">
        <v>117</v>
      </c>
    </row>
    <row r="8" spans="1:30" x14ac:dyDescent="0.25">
      <c r="A8" s="82" t="s">
        <v>91</v>
      </c>
      <c r="B8" s="85"/>
      <c r="C8" s="85"/>
      <c r="D8" s="86"/>
      <c r="E8" s="87"/>
      <c r="F8" s="85"/>
      <c r="G8" s="85">
        <v>0.98</v>
      </c>
      <c r="H8" s="85"/>
      <c r="I8" s="80"/>
      <c r="J8" s="89"/>
      <c r="K8" s="89"/>
      <c r="L8" s="89"/>
      <c r="M8" s="124" t="s">
        <v>53</v>
      </c>
      <c r="N8" s="89"/>
      <c r="O8" s="117">
        <v>0</v>
      </c>
    </row>
    <row r="9" spans="1:30" x14ac:dyDescent="0.25">
      <c r="A9" s="82" t="s">
        <v>92</v>
      </c>
      <c r="B9" s="85"/>
      <c r="C9" s="85"/>
      <c r="D9" s="86"/>
      <c r="E9" s="87"/>
      <c r="F9" s="85"/>
      <c r="G9" s="85">
        <v>0.98</v>
      </c>
      <c r="H9" s="85"/>
      <c r="I9" s="80"/>
      <c r="J9" s="89"/>
      <c r="K9" s="89"/>
      <c r="L9" s="89"/>
      <c r="M9" s="124" t="s">
        <v>47</v>
      </c>
      <c r="N9" s="89"/>
      <c r="O9" s="117">
        <f>'Fichier Client'!R84</f>
        <v>38</v>
      </c>
    </row>
    <row r="11" spans="1:30" ht="15.75" thickBot="1" x14ac:dyDescent="0.3"/>
    <row r="12" spans="1:30" ht="21.75" thickBot="1" x14ac:dyDescent="0.4">
      <c r="A12" s="165" t="s">
        <v>3</v>
      </c>
      <c r="B12" s="166"/>
      <c r="C12" s="166"/>
      <c r="D12" s="166"/>
      <c r="E12" s="166"/>
      <c r="F12" s="166"/>
      <c r="G12" s="166"/>
      <c r="H12" s="166"/>
      <c r="I12" s="166"/>
      <c r="J12" s="166"/>
      <c r="K12" s="166"/>
      <c r="L12" s="166"/>
      <c r="M12" s="166"/>
      <c r="N12" s="166"/>
      <c r="O12" s="166"/>
      <c r="Q12" s="173" t="s">
        <v>98</v>
      </c>
      <c r="R12" s="173"/>
      <c r="S12" s="173"/>
      <c r="T12" s="173"/>
      <c r="U12" s="173"/>
      <c r="V12" s="173"/>
      <c r="W12" s="173"/>
      <c r="X12" s="173"/>
      <c r="Y12" s="80"/>
      <c r="Z12" s="172" t="s">
        <v>99</v>
      </c>
      <c r="AA12" s="172"/>
      <c r="AB12" s="172"/>
      <c r="AC12" s="172"/>
      <c r="AD12" s="172"/>
    </row>
    <row r="13" spans="1:30" x14ac:dyDescent="0.25">
      <c r="A13" s="90"/>
      <c r="B13" s="90"/>
      <c r="C13" s="103"/>
      <c r="D13" s="90"/>
      <c r="E13" s="90"/>
      <c r="F13" s="90"/>
      <c r="G13" s="90"/>
      <c r="H13" s="90"/>
      <c r="I13" s="90"/>
      <c r="J13" s="90"/>
      <c r="K13" s="90"/>
      <c r="L13" s="90"/>
      <c r="M13" s="90"/>
      <c r="N13" s="90"/>
      <c r="O13" s="90"/>
      <c r="P13" s="90"/>
      <c r="Q13" s="95"/>
      <c r="R13" s="95"/>
      <c r="S13" s="95"/>
      <c r="T13" s="95"/>
      <c r="U13" s="95"/>
      <c r="V13" s="95"/>
      <c r="W13" s="95"/>
      <c r="X13" s="95"/>
      <c r="Y13" s="95"/>
      <c r="Z13" s="174" t="s">
        <v>109</v>
      </c>
      <c r="AA13" s="174"/>
      <c r="AB13" s="174"/>
      <c r="AC13" s="174"/>
      <c r="AD13" s="174"/>
    </row>
    <row r="14" spans="1:30" ht="17.25" x14ac:dyDescent="0.3">
      <c r="A14" s="152" t="s">
        <v>96</v>
      </c>
      <c r="B14" s="152"/>
      <c r="C14" s="152"/>
      <c r="D14" s="152"/>
      <c r="E14" s="152"/>
      <c r="F14" s="152"/>
      <c r="G14" s="152"/>
      <c r="H14" s="152"/>
      <c r="I14" s="152"/>
      <c r="J14" s="152"/>
      <c r="K14" s="152"/>
      <c r="L14" s="152"/>
      <c r="M14" s="152"/>
      <c r="N14" s="152"/>
      <c r="O14" s="152"/>
      <c r="P14" s="90"/>
      <c r="Q14" s="177" t="str">
        <f>+A14</f>
        <v>C5 2023</v>
      </c>
      <c r="R14" s="177"/>
      <c r="S14" s="177"/>
      <c r="T14" s="177"/>
      <c r="U14" s="177"/>
      <c r="V14" s="177"/>
      <c r="W14" s="177"/>
      <c r="X14" s="177"/>
      <c r="Y14" s="95"/>
      <c r="Z14" s="177" t="str">
        <f>+Q14</f>
        <v>C5 2023</v>
      </c>
      <c r="AA14" s="177"/>
      <c r="AB14" s="177"/>
      <c r="AC14" s="177"/>
      <c r="AD14" s="177"/>
    </row>
    <row r="15" spans="1:30" ht="29.25" customHeight="1" x14ac:dyDescent="0.25">
      <c r="A15" s="91"/>
      <c r="B15" s="91"/>
      <c r="C15" s="91"/>
      <c r="D15" s="153" t="s">
        <v>4</v>
      </c>
      <c r="E15" s="153"/>
      <c r="F15" s="154" t="s">
        <v>5</v>
      </c>
      <c r="G15" s="155"/>
      <c r="H15" s="154" t="s">
        <v>6</v>
      </c>
      <c r="I15" s="154"/>
      <c r="J15" s="108" t="s">
        <v>38</v>
      </c>
      <c r="K15" s="155" t="s">
        <v>7</v>
      </c>
      <c r="L15" s="155"/>
      <c r="M15" s="155" t="s">
        <v>8</v>
      </c>
      <c r="N15" s="155"/>
      <c r="O15" s="155"/>
      <c r="P15" s="90"/>
      <c r="Q15" s="176" t="s">
        <v>100</v>
      </c>
      <c r="R15" s="176"/>
      <c r="S15" s="176"/>
      <c r="T15" s="176"/>
      <c r="U15" s="139" t="s">
        <v>101</v>
      </c>
      <c r="V15" s="139" t="s">
        <v>102</v>
      </c>
      <c r="W15" s="93" t="s">
        <v>90</v>
      </c>
      <c r="X15" s="139" t="s">
        <v>54</v>
      </c>
      <c r="Y15" s="95"/>
      <c r="Z15" s="176" t="s">
        <v>4</v>
      </c>
      <c r="AA15" s="176"/>
      <c r="AB15" s="176" t="s">
        <v>100</v>
      </c>
      <c r="AC15" s="176"/>
      <c r="AD15" s="139" t="s">
        <v>54</v>
      </c>
    </row>
    <row r="16" spans="1:30" ht="42" customHeight="1" x14ac:dyDescent="0.25">
      <c r="A16" s="110" t="s">
        <v>9</v>
      </c>
      <c r="B16" s="111"/>
      <c r="C16" s="8" t="s">
        <v>10</v>
      </c>
      <c r="D16" s="3" t="s">
        <v>25</v>
      </c>
      <c r="E16" s="3" t="s">
        <v>11</v>
      </c>
      <c r="F16" s="109" t="s">
        <v>12</v>
      </c>
      <c r="G16" s="8" t="s">
        <v>13</v>
      </c>
      <c r="H16" s="8" t="s">
        <v>12</v>
      </c>
      <c r="I16" s="8" t="s">
        <v>13</v>
      </c>
      <c r="J16" s="140" t="s">
        <v>25</v>
      </c>
      <c r="K16" s="8" t="s">
        <v>14</v>
      </c>
      <c r="L16" s="8" t="s">
        <v>15</v>
      </c>
      <c r="M16" s="8" t="s">
        <v>16</v>
      </c>
      <c r="N16" s="8" t="s">
        <v>17</v>
      </c>
      <c r="O16" s="8" t="s">
        <v>18</v>
      </c>
      <c r="P16" s="90"/>
      <c r="Q16" s="139" t="s">
        <v>103</v>
      </c>
      <c r="R16" s="139" t="s">
        <v>104</v>
      </c>
      <c r="S16" s="139" t="s">
        <v>105</v>
      </c>
      <c r="T16" s="139" t="s">
        <v>104</v>
      </c>
      <c r="U16" s="139" t="s">
        <v>104</v>
      </c>
      <c r="V16" s="139" t="s">
        <v>104</v>
      </c>
      <c r="W16" s="93" t="s">
        <v>106</v>
      </c>
      <c r="X16" s="139" t="s">
        <v>107</v>
      </c>
      <c r="Y16" s="95"/>
      <c r="Z16" s="139" t="s">
        <v>108</v>
      </c>
      <c r="AA16" s="139" t="s">
        <v>104</v>
      </c>
      <c r="AB16" s="139" t="s">
        <v>108</v>
      </c>
      <c r="AC16" s="139" t="s">
        <v>104</v>
      </c>
      <c r="AD16" s="139" t="s">
        <v>107</v>
      </c>
    </row>
    <row r="17" spans="1:30" x14ac:dyDescent="0.25">
      <c r="A17" s="114"/>
      <c r="B17" s="15" t="s">
        <v>26</v>
      </c>
      <c r="C17" s="26">
        <f>'Fichier Client'!$S$84</f>
        <v>234.92899999999995</v>
      </c>
      <c r="D17" s="30"/>
      <c r="E17" s="4">
        <f>+C17*D17</f>
        <v>0</v>
      </c>
      <c r="F17" s="29">
        <v>0</v>
      </c>
      <c r="G17" s="124">
        <v>0</v>
      </c>
      <c r="H17" s="29">
        <v>0</v>
      </c>
      <c r="I17" s="31">
        <v>0</v>
      </c>
      <c r="J17" s="156">
        <v>0</v>
      </c>
      <c r="K17" s="156">
        <v>0</v>
      </c>
      <c r="L17" s="156">
        <v>0</v>
      </c>
      <c r="M17" s="149"/>
      <c r="N17" s="147">
        <f>M17*8760</f>
        <v>0</v>
      </c>
      <c r="O17" s="148">
        <f>+N17/C20</f>
        <v>0</v>
      </c>
      <c r="P17" s="90"/>
      <c r="Q17" s="96">
        <f>G17*$F$8*$G$8</f>
        <v>0</v>
      </c>
      <c r="R17" s="97">
        <f>Q17*$C17</f>
        <v>0</v>
      </c>
      <c r="S17" s="98">
        <f>I17*$F$8*$G$8</f>
        <v>0</v>
      </c>
      <c r="T17" s="97">
        <f>S17*$C17</f>
        <v>0</v>
      </c>
      <c r="U17" s="97">
        <f>$J$17*$C17</f>
        <v>0</v>
      </c>
      <c r="V17" s="97">
        <f>($K$17+$L$17)*$C17</f>
        <v>0</v>
      </c>
      <c r="W17" s="97">
        <f>+$N$10*$O$10</f>
        <v>0</v>
      </c>
      <c r="X17" s="99">
        <f>E17+T17+U17+V17+W17</f>
        <v>0</v>
      </c>
      <c r="Y17" s="95"/>
      <c r="Z17" s="118">
        <f>D17+$O$17*$E$8*($H$8-$D$8)</f>
        <v>0</v>
      </c>
      <c r="AA17" s="97">
        <f>$C17*Z17</f>
        <v>0</v>
      </c>
      <c r="AB17" s="137">
        <f>S17+$O$17*$E$8*($F$8*1000/8760)</f>
        <v>0</v>
      </c>
      <c r="AC17" s="97">
        <f>AB17*$C17</f>
        <v>0</v>
      </c>
      <c r="AD17" s="99">
        <f>U17+V17+W17+AA17+AC17</f>
        <v>0</v>
      </c>
    </row>
    <row r="18" spans="1:30" x14ac:dyDescent="0.25">
      <c r="A18" s="159"/>
      <c r="B18" s="15" t="s">
        <v>27</v>
      </c>
      <c r="C18" s="26">
        <v>0</v>
      </c>
      <c r="D18" s="30"/>
      <c r="E18" s="4">
        <f>+C18*D18</f>
        <v>0</v>
      </c>
      <c r="F18" s="29">
        <v>0</v>
      </c>
      <c r="G18" s="124">
        <v>0</v>
      </c>
      <c r="H18" s="29">
        <v>0</v>
      </c>
      <c r="I18" s="31">
        <v>0</v>
      </c>
      <c r="J18" s="157"/>
      <c r="K18" s="157">
        <v>0</v>
      </c>
      <c r="L18" s="157">
        <v>0</v>
      </c>
      <c r="M18" s="149"/>
      <c r="N18" s="147"/>
      <c r="O18" s="148"/>
      <c r="P18" s="90"/>
      <c r="Q18" s="96">
        <f t="shared" ref="Q18:Q19" si="0">G18*$F$8*$G$8</f>
        <v>0</v>
      </c>
      <c r="R18" s="97">
        <f t="shared" ref="R18:R19" si="1">Q18*$C18</f>
        <v>0</v>
      </c>
      <c r="S18" s="98">
        <f>I18*$F$8*$G$8</f>
        <v>0</v>
      </c>
      <c r="T18" s="97">
        <f>S18*$C18</f>
        <v>0</v>
      </c>
      <c r="U18" s="97">
        <f>$J$17*$C18</f>
        <v>0</v>
      </c>
      <c r="V18" s="97">
        <f>($K$17+$L$17)*$C18</f>
        <v>0</v>
      </c>
      <c r="W18" s="97"/>
      <c r="X18" s="99">
        <f>E18+T18+U18+V18+W18</f>
        <v>0</v>
      </c>
      <c r="Y18" s="95"/>
      <c r="Z18" s="118">
        <f>D18+$O$17*$E$8*($H$8-$D$8)</f>
        <v>0</v>
      </c>
      <c r="AA18" s="97">
        <f t="shared" ref="AA18:AA19" si="2">$C18*Z18</f>
        <v>0</v>
      </c>
      <c r="AB18" s="137">
        <f>S18+$O$17*$E$8*($F$8*1000/8760)</f>
        <v>0</v>
      </c>
      <c r="AC18" s="97">
        <f t="shared" ref="AC18:AC19" si="3">AB18*$C18</f>
        <v>0</v>
      </c>
      <c r="AD18" s="99">
        <f t="shared" ref="AD18:AD19" si="4">U18+V18+W18+AA18+AC18</f>
        <v>0</v>
      </c>
    </row>
    <row r="19" spans="1:30" x14ac:dyDescent="0.25">
      <c r="A19" s="151"/>
      <c r="B19" s="15" t="s">
        <v>28</v>
      </c>
      <c r="C19" s="26">
        <v>0</v>
      </c>
      <c r="D19" s="30"/>
      <c r="E19" s="4">
        <f>+C19*D19</f>
        <v>0</v>
      </c>
      <c r="F19" s="29">
        <v>0</v>
      </c>
      <c r="G19" s="124">
        <v>0</v>
      </c>
      <c r="H19" s="29">
        <v>0</v>
      </c>
      <c r="I19" s="31">
        <v>0</v>
      </c>
      <c r="J19" s="158"/>
      <c r="K19" s="158">
        <v>0</v>
      </c>
      <c r="L19" s="158">
        <v>0</v>
      </c>
      <c r="M19" s="149"/>
      <c r="N19" s="147"/>
      <c r="O19" s="148"/>
      <c r="P19" s="90"/>
      <c r="Q19" s="96">
        <f t="shared" si="0"/>
        <v>0</v>
      </c>
      <c r="R19" s="97">
        <f t="shared" si="1"/>
        <v>0</v>
      </c>
      <c r="S19" s="98">
        <f t="shared" ref="S19" si="5">I19*$F$8*$G$8</f>
        <v>0</v>
      </c>
      <c r="T19" s="97">
        <f t="shared" ref="T19" si="6">S19*$C19</f>
        <v>0</v>
      </c>
      <c r="U19" s="97">
        <f t="shared" ref="U19" si="7">$J$17*$C19</f>
        <v>0</v>
      </c>
      <c r="V19" s="97">
        <f t="shared" ref="V19" si="8">($K$17+$L$17)*$C19</f>
        <v>0</v>
      </c>
      <c r="W19" s="97"/>
      <c r="X19" s="99">
        <f t="shared" ref="X19" si="9">E19+T19+U19+V19+W19</f>
        <v>0</v>
      </c>
      <c r="Y19" s="95"/>
      <c r="Z19" s="118">
        <f>D19+$O$17*$E$8*($H$8-$D$8)</f>
        <v>0</v>
      </c>
      <c r="AA19" s="97">
        <f t="shared" si="2"/>
        <v>0</v>
      </c>
      <c r="AB19" s="137">
        <f>S19+$O$17*$E$8*($F$8*1000/8760)</f>
        <v>0</v>
      </c>
      <c r="AC19" s="97">
        <f t="shared" si="3"/>
        <v>0</v>
      </c>
      <c r="AD19" s="99">
        <f t="shared" si="4"/>
        <v>0</v>
      </c>
    </row>
    <row r="20" spans="1:30" x14ac:dyDescent="0.25">
      <c r="A20" s="16"/>
      <c r="B20" s="115" t="s">
        <v>24</v>
      </c>
      <c r="C20" s="18">
        <f>SUM(C17:C19)</f>
        <v>234.92899999999995</v>
      </c>
      <c r="D20" s="35">
        <f>SUM(D17:D19)</f>
        <v>0</v>
      </c>
      <c r="E20" s="12">
        <f>SUM(E17:E19)</f>
        <v>0</v>
      </c>
      <c r="F20" s="90"/>
      <c r="G20" s="90"/>
      <c r="H20" s="90"/>
      <c r="I20" s="90"/>
      <c r="J20" s="90"/>
      <c r="K20" s="17"/>
      <c r="L20" s="17"/>
      <c r="M20" s="17"/>
      <c r="N20" s="105"/>
      <c r="O20" s="105"/>
      <c r="P20" s="90"/>
      <c r="Q20" s="100">
        <f>SUMPRODUCT($C17:$C19,Q17:Q19)/$C20</f>
        <v>0</v>
      </c>
      <c r="R20" s="101">
        <f>SUM(R15:R19)</f>
        <v>0</v>
      </c>
      <c r="S20" s="100">
        <f>SUMPRODUCT($C17:$C19,S17:S19)/$C20</f>
        <v>0</v>
      </c>
      <c r="T20" s="101">
        <f>SUM(T17:T19)</f>
        <v>0</v>
      </c>
      <c r="U20" s="101">
        <f>SUM(U17:U19)</f>
        <v>0</v>
      </c>
      <c r="V20" s="101">
        <f>SUM(V17:V19)</f>
        <v>0</v>
      </c>
      <c r="W20" s="101">
        <f>SUM(W17:W19)</f>
        <v>0</v>
      </c>
      <c r="X20" s="101">
        <f>SUM(X17:X19)</f>
        <v>0</v>
      </c>
      <c r="Y20" s="95"/>
      <c r="Z20" s="102">
        <f>SUMPRODUCT($C17:$C19,Z17:Z19)/$C20</f>
        <v>0</v>
      </c>
      <c r="AA20" s="101">
        <f>SUM(AA17:AA19)</f>
        <v>0</v>
      </c>
      <c r="AB20" s="102">
        <f>SUMPRODUCT($C17:$C19,AB17:AB19)/$C20</f>
        <v>0</v>
      </c>
      <c r="AC20" s="101">
        <f t="shared" ref="AC20:AD20" si="10">SUM(AC17:AC19)</f>
        <v>0</v>
      </c>
      <c r="AD20" s="101">
        <f t="shared" si="10"/>
        <v>0</v>
      </c>
    </row>
    <row r="21" spans="1:30" x14ac:dyDescent="0.2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row>
    <row r="22" spans="1:30" ht="17.25" x14ac:dyDescent="0.3">
      <c r="A22" s="152" t="s">
        <v>97</v>
      </c>
      <c r="B22" s="152"/>
      <c r="C22" s="152"/>
      <c r="D22" s="152"/>
      <c r="E22" s="152"/>
      <c r="F22" s="152"/>
      <c r="G22" s="152"/>
      <c r="H22" s="152"/>
      <c r="I22" s="152"/>
      <c r="J22" s="152"/>
      <c r="K22" s="152"/>
      <c r="L22" s="152"/>
      <c r="M22" s="152"/>
      <c r="N22" s="152"/>
      <c r="O22" s="152"/>
      <c r="P22" s="90"/>
      <c r="Q22" s="177" t="str">
        <f>+A22</f>
        <v>C5 2024</v>
      </c>
      <c r="R22" s="177"/>
      <c r="S22" s="177"/>
      <c r="T22" s="177"/>
      <c r="U22" s="177"/>
      <c r="V22" s="177"/>
      <c r="W22" s="177"/>
      <c r="X22" s="177"/>
      <c r="Y22" s="95"/>
      <c r="Z22" s="177" t="str">
        <f>+Q22</f>
        <v>C5 2024</v>
      </c>
      <c r="AA22" s="177"/>
      <c r="AB22" s="177"/>
      <c r="AC22" s="177"/>
      <c r="AD22" s="177"/>
    </row>
    <row r="23" spans="1:30" ht="29.25" customHeight="1" x14ac:dyDescent="0.25">
      <c r="A23" s="91"/>
      <c r="B23" s="91"/>
      <c r="C23" s="91"/>
      <c r="D23" s="153" t="s">
        <v>4</v>
      </c>
      <c r="E23" s="153"/>
      <c r="F23" s="154" t="s">
        <v>5</v>
      </c>
      <c r="G23" s="155"/>
      <c r="H23" s="154" t="s">
        <v>6</v>
      </c>
      <c r="I23" s="154"/>
      <c r="J23" s="108" t="s">
        <v>38</v>
      </c>
      <c r="K23" s="155" t="s">
        <v>7</v>
      </c>
      <c r="L23" s="155"/>
      <c r="M23" s="155" t="s">
        <v>8</v>
      </c>
      <c r="N23" s="155"/>
      <c r="O23" s="155"/>
      <c r="P23" s="90"/>
      <c r="Q23" s="176" t="s">
        <v>100</v>
      </c>
      <c r="R23" s="176"/>
      <c r="S23" s="176"/>
      <c r="T23" s="176"/>
      <c r="U23" s="139" t="s">
        <v>101</v>
      </c>
      <c r="V23" s="139" t="s">
        <v>102</v>
      </c>
      <c r="W23" s="93" t="s">
        <v>90</v>
      </c>
      <c r="X23" s="139" t="s">
        <v>54</v>
      </c>
      <c r="Y23" s="95"/>
      <c r="Z23" s="176" t="s">
        <v>4</v>
      </c>
      <c r="AA23" s="176"/>
      <c r="AB23" s="176" t="s">
        <v>100</v>
      </c>
      <c r="AC23" s="176"/>
      <c r="AD23" s="139" t="s">
        <v>54</v>
      </c>
    </row>
    <row r="24" spans="1:30" ht="42" customHeight="1" x14ac:dyDescent="0.25">
      <c r="A24" s="110" t="s">
        <v>9</v>
      </c>
      <c r="B24" s="111"/>
      <c r="C24" s="8" t="s">
        <v>10</v>
      </c>
      <c r="D24" s="3" t="s">
        <v>25</v>
      </c>
      <c r="E24" s="3" t="s">
        <v>11</v>
      </c>
      <c r="F24" s="109" t="s">
        <v>12</v>
      </c>
      <c r="G24" s="8" t="s">
        <v>13</v>
      </c>
      <c r="H24" s="8" t="s">
        <v>12</v>
      </c>
      <c r="I24" s="8" t="s">
        <v>13</v>
      </c>
      <c r="J24" s="140" t="s">
        <v>25</v>
      </c>
      <c r="K24" s="8" t="s">
        <v>14</v>
      </c>
      <c r="L24" s="8" t="s">
        <v>15</v>
      </c>
      <c r="M24" s="8" t="s">
        <v>16</v>
      </c>
      <c r="N24" s="8" t="s">
        <v>17</v>
      </c>
      <c r="O24" s="8" t="s">
        <v>18</v>
      </c>
      <c r="P24" s="90"/>
      <c r="Q24" s="139" t="s">
        <v>103</v>
      </c>
      <c r="R24" s="139" t="s">
        <v>104</v>
      </c>
      <c r="S24" s="139" t="s">
        <v>105</v>
      </c>
      <c r="T24" s="139" t="s">
        <v>104</v>
      </c>
      <c r="U24" s="139" t="s">
        <v>104</v>
      </c>
      <c r="V24" s="139" t="s">
        <v>104</v>
      </c>
      <c r="W24" s="93" t="s">
        <v>106</v>
      </c>
      <c r="X24" s="139" t="s">
        <v>107</v>
      </c>
      <c r="Y24" s="95"/>
      <c r="Z24" s="139" t="s">
        <v>108</v>
      </c>
      <c r="AA24" s="139" t="s">
        <v>104</v>
      </c>
      <c r="AB24" s="139" t="s">
        <v>108</v>
      </c>
      <c r="AC24" s="139" t="s">
        <v>104</v>
      </c>
      <c r="AD24" s="139" t="s">
        <v>107</v>
      </c>
    </row>
    <row r="25" spans="1:30" x14ac:dyDescent="0.25">
      <c r="A25" s="104"/>
      <c r="B25" s="15" t="s">
        <v>26</v>
      </c>
      <c r="C25" s="26">
        <f>'Fichier Client'!$S$84</f>
        <v>234.92899999999995</v>
      </c>
      <c r="D25" s="30"/>
      <c r="E25" s="4">
        <f>+C25*D25</f>
        <v>0</v>
      </c>
      <c r="F25" s="29">
        <v>0</v>
      </c>
      <c r="G25" s="124">
        <v>0</v>
      </c>
      <c r="H25" s="29">
        <v>0</v>
      </c>
      <c r="I25" s="31">
        <v>0</v>
      </c>
      <c r="J25" s="156">
        <v>0</v>
      </c>
      <c r="K25" s="156">
        <v>0</v>
      </c>
      <c r="L25" s="156">
        <v>0</v>
      </c>
      <c r="M25" s="149"/>
      <c r="N25" s="147">
        <f>M25*8760</f>
        <v>0</v>
      </c>
      <c r="O25" s="148">
        <f>+N25/C28</f>
        <v>0</v>
      </c>
      <c r="P25" s="90"/>
      <c r="Q25" s="96">
        <f>G25*$F$8*$G$8</f>
        <v>0</v>
      </c>
      <c r="R25" s="97">
        <f>Q25*$C25</f>
        <v>0</v>
      </c>
      <c r="S25" s="98">
        <f>I25*$F$9*$G$9</f>
        <v>0</v>
      </c>
      <c r="T25" s="97">
        <f>S25*$C25</f>
        <v>0</v>
      </c>
      <c r="U25" s="97">
        <f>$J$25*$C25</f>
        <v>0</v>
      </c>
      <c r="V25" s="97">
        <f>($K$25+$L$25)*$C25</f>
        <v>0</v>
      </c>
      <c r="W25" s="97">
        <f>+$N$10*$O$10</f>
        <v>0</v>
      </c>
      <c r="X25" s="99">
        <f>E25+T25+U25+V25+W25</f>
        <v>0</v>
      </c>
      <c r="Y25" s="95"/>
      <c r="Z25" s="118">
        <f>D25+$O$25*$E$9*($H$9-$D$9)</f>
        <v>0</v>
      </c>
      <c r="AA25" s="97">
        <f>$C25*Z25</f>
        <v>0</v>
      </c>
      <c r="AB25" s="137">
        <f>S25+$O$25*$E$9*($F$9*1000/8760)</f>
        <v>0</v>
      </c>
      <c r="AC25" s="97">
        <f>AB25*$C25</f>
        <v>0</v>
      </c>
      <c r="AD25" s="99">
        <f>U25+V25+W25+AA25+AC25</f>
        <v>0</v>
      </c>
    </row>
    <row r="26" spans="1:30" x14ac:dyDescent="0.25">
      <c r="A26" s="150"/>
      <c r="B26" s="15" t="s">
        <v>27</v>
      </c>
      <c r="C26" s="26">
        <v>0</v>
      </c>
      <c r="D26" s="30"/>
      <c r="E26" s="4">
        <f>+C26*D26</f>
        <v>0</v>
      </c>
      <c r="F26" s="29">
        <v>0</v>
      </c>
      <c r="G26" s="124">
        <v>0</v>
      </c>
      <c r="H26" s="29">
        <v>0</v>
      </c>
      <c r="I26" s="31">
        <v>0</v>
      </c>
      <c r="J26" s="157">
        <v>0</v>
      </c>
      <c r="K26" s="157">
        <v>0</v>
      </c>
      <c r="L26" s="157">
        <v>0</v>
      </c>
      <c r="M26" s="149"/>
      <c r="N26" s="147"/>
      <c r="O26" s="148"/>
      <c r="P26" s="90"/>
      <c r="Q26" s="96">
        <f>G26*$F$8*$G$8</f>
        <v>0</v>
      </c>
      <c r="R26" s="97">
        <f>Q26*$C26</f>
        <v>0</v>
      </c>
      <c r="S26" s="98">
        <f>I26*$F$9*$G$9</f>
        <v>0</v>
      </c>
      <c r="T26" s="97">
        <f>S26*$C26</f>
        <v>0</v>
      </c>
      <c r="U26" s="97">
        <f>$J$25*$C26</f>
        <v>0</v>
      </c>
      <c r="V26" s="97">
        <f>($K$25+$L$25)*$C26</f>
        <v>0</v>
      </c>
      <c r="W26" s="97"/>
      <c r="X26" s="99">
        <f>E26+T26+U26+V26+W26</f>
        <v>0</v>
      </c>
      <c r="Y26" s="95"/>
      <c r="Z26" s="118">
        <f>D26+$O$25*$E$9*($H$9-$D$9)</f>
        <v>0</v>
      </c>
      <c r="AA26" s="97">
        <f t="shared" ref="AA26:AA27" si="11">$C26*Z26</f>
        <v>0</v>
      </c>
      <c r="AB26" s="137">
        <f>S26+$O$25*$E$9*($F$9*1000/8760)</f>
        <v>0</v>
      </c>
      <c r="AC26" s="97">
        <f>AB26*$C26</f>
        <v>0</v>
      </c>
      <c r="AD26" s="99">
        <f>U26+V26+W26+AA26+AC26</f>
        <v>0</v>
      </c>
    </row>
    <row r="27" spans="1:30" x14ac:dyDescent="0.25">
      <c r="A27" s="151"/>
      <c r="B27" s="15" t="s">
        <v>28</v>
      </c>
      <c r="C27" s="26">
        <v>0</v>
      </c>
      <c r="D27" s="30"/>
      <c r="E27" s="4">
        <f>+C27*D27</f>
        <v>0</v>
      </c>
      <c r="F27" s="29">
        <v>0</v>
      </c>
      <c r="G27" s="124">
        <v>0</v>
      </c>
      <c r="H27" s="29">
        <v>0</v>
      </c>
      <c r="I27" s="31">
        <v>0</v>
      </c>
      <c r="J27" s="158">
        <v>0</v>
      </c>
      <c r="K27" s="158">
        <v>0</v>
      </c>
      <c r="L27" s="158">
        <v>0</v>
      </c>
      <c r="M27" s="149"/>
      <c r="N27" s="147"/>
      <c r="O27" s="148"/>
      <c r="P27" s="90"/>
      <c r="Q27" s="96">
        <f>G27*$F$8*$G$8</f>
        <v>0</v>
      </c>
      <c r="R27" s="97">
        <f>Q27*$C27</f>
        <v>0</v>
      </c>
      <c r="S27" s="98">
        <f>I27*$F$9*$G$9</f>
        <v>0</v>
      </c>
      <c r="T27" s="97">
        <f>S27*$C27</f>
        <v>0</v>
      </c>
      <c r="U27" s="97">
        <f>$J$25*$C27</f>
        <v>0</v>
      </c>
      <c r="V27" s="97">
        <f>($K$25+$L$25)*$C27</f>
        <v>0</v>
      </c>
      <c r="W27" s="97"/>
      <c r="X27" s="99">
        <f>E27+T27+U27+V27+W27</f>
        <v>0</v>
      </c>
      <c r="Y27" s="95"/>
      <c r="Z27" s="118">
        <f>D27+$O$25*$E$9*($H$9-$D$9)</f>
        <v>0</v>
      </c>
      <c r="AA27" s="97">
        <f t="shared" si="11"/>
        <v>0</v>
      </c>
      <c r="AB27" s="137">
        <f>S27+$O$25*$E$9*($F$9*1000/8760)</f>
        <v>0</v>
      </c>
      <c r="AC27" s="97">
        <f t="shared" ref="AC27" si="12">AB27*$C27</f>
        <v>0</v>
      </c>
      <c r="AD27" s="99">
        <f t="shared" ref="AD27" si="13">U27+V27+W27+AA27+AC27</f>
        <v>0</v>
      </c>
    </row>
    <row r="28" spans="1:30" x14ac:dyDescent="0.25">
      <c r="A28" s="16"/>
      <c r="B28" s="115" t="s">
        <v>24</v>
      </c>
      <c r="C28" s="18">
        <f>SUM(C25:C27)</f>
        <v>234.92899999999995</v>
      </c>
      <c r="D28" s="35">
        <f>SUM(D25:D27)</f>
        <v>0</v>
      </c>
      <c r="E28" s="12">
        <f>SUM(E25:E27)</f>
        <v>0</v>
      </c>
      <c r="F28" s="90"/>
      <c r="G28" s="90"/>
      <c r="H28" s="90"/>
      <c r="I28" s="90"/>
      <c r="J28" s="90"/>
      <c r="K28" s="17"/>
      <c r="L28" s="17"/>
      <c r="M28" s="17"/>
      <c r="N28" s="105"/>
      <c r="O28" s="105"/>
      <c r="P28" s="90"/>
      <c r="Q28" s="100">
        <f>SUMPRODUCT($C25:$C27,Q25:Q27)/$C28</f>
        <v>0</v>
      </c>
      <c r="R28" s="101">
        <f>SUM(R25:R27)</f>
        <v>0</v>
      </c>
      <c r="S28" s="100">
        <f>SUMPRODUCT($C25:$C27,S25:S27)/$C28</f>
        <v>0</v>
      </c>
      <c r="T28" s="101">
        <f>SUM(T25:T27)</f>
        <v>0</v>
      </c>
      <c r="U28" s="101">
        <f>SUM(U25:U27)</f>
        <v>0</v>
      </c>
      <c r="V28" s="101">
        <f>SUM(V25:V27)</f>
        <v>0</v>
      </c>
      <c r="W28" s="101">
        <f>SUM(W25:W27)</f>
        <v>0</v>
      </c>
      <c r="X28" s="101">
        <f>SUM(X25:X27)</f>
        <v>0</v>
      </c>
      <c r="Y28" s="95"/>
      <c r="Z28" s="102">
        <f>SUMPRODUCT($C25:$C27,Z25:Z27)/$C28</f>
        <v>0</v>
      </c>
      <c r="AA28" s="101">
        <f>SUM(AA25:AA27)</f>
        <v>0</v>
      </c>
      <c r="AB28" s="102">
        <f>SUMPRODUCT($C25:$C27,AB25:AB27)/$C28</f>
        <v>0</v>
      </c>
      <c r="AC28" s="101">
        <f t="shared" ref="AC28:AD28" si="14">SUM(AC25:AC27)</f>
        <v>0</v>
      </c>
      <c r="AD28" s="101">
        <f t="shared" si="14"/>
        <v>0</v>
      </c>
    </row>
    <row r="29" spans="1:30" x14ac:dyDescent="0.25">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row>
    <row r="30" spans="1:30" x14ac:dyDescent="0.25">
      <c r="A30" s="90"/>
      <c r="B30" s="90"/>
      <c r="C30" s="90"/>
      <c r="D30" s="90"/>
      <c r="E30" s="90"/>
      <c r="F30" s="90"/>
      <c r="G30" s="90"/>
      <c r="H30" s="90"/>
      <c r="I30" s="90"/>
      <c r="J30" s="90"/>
      <c r="K30" s="90"/>
      <c r="L30" s="90"/>
      <c r="M30" s="90"/>
      <c r="N30" s="90"/>
      <c r="O30" s="90"/>
      <c r="P30" s="90"/>
      <c r="Q30" s="178" t="s">
        <v>111</v>
      </c>
      <c r="R30" s="178"/>
      <c r="S30" s="178"/>
      <c r="T30" s="178"/>
      <c r="U30" s="178"/>
      <c r="V30" s="178"/>
      <c r="W30" s="178"/>
      <c r="X30" s="178"/>
      <c r="Y30" s="95"/>
      <c r="Z30" s="178"/>
      <c r="AA30" s="178"/>
      <c r="AB30" s="178"/>
      <c r="AC30" s="178"/>
      <c r="AD30" s="178"/>
    </row>
    <row r="31" spans="1:30" ht="30" x14ac:dyDescent="0.25">
      <c r="A31" s="90"/>
      <c r="B31" s="90"/>
      <c r="C31" s="90"/>
      <c r="D31" s="90"/>
      <c r="E31" s="90"/>
      <c r="F31" s="90"/>
      <c r="G31" s="90"/>
      <c r="H31" s="90"/>
      <c r="I31" s="90"/>
      <c r="J31" s="90"/>
      <c r="K31" s="90"/>
      <c r="L31" s="90"/>
      <c r="M31" s="90"/>
      <c r="N31" s="90"/>
      <c r="O31" s="90"/>
      <c r="P31" s="90"/>
      <c r="Q31" s="176" t="s">
        <v>112</v>
      </c>
      <c r="R31" s="139" t="s">
        <v>113</v>
      </c>
      <c r="S31" s="139" t="s">
        <v>114</v>
      </c>
      <c r="T31" s="139" t="s">
        <v>115</v>
      </c>
      <c r="U31" s="139" t="s">
        <v>101</v>
      </c>
      <c r="V31" s="139" t="s">
        <v>102</v>
      </c>
      <c r="W31" s="93" t="s">
        <v>90</v>
      </c>
      <c r="X31" s="139" t="s">
        <v>54</v>
      </c>
      <c r="Y31" s="95"/>
      <c r="Z31" s="95"/>
      <c r="AA31" s="139" t="s">
        <v>113</v>
      </c>
      <c r="AB31" s="95"/>
      <c r="AC31" s="139" t="s">
        <v>100</v>
      </c>
      <c r="AD31" s="139" t="s">
        <v>54</v>
      </c>
    </row>
    <row r="32" spans="1:30" ht="30" x14ac:dyDescent="0.25">
      <c r="A32" s="90"/>
      <c r="B32" s="90"/>
      <c r="C32" s="90"/>
      <c r="D32" s="90"/>
      <c r="E32" s="90"/>
      <c r="F32" s="90"/>
      <c r="G32" s="90"/>
      <c r="H32" s="90"/>
      <c r="I32" s="90"/>
      <c r="J32" s="90"/>
      <c r="K32" s="90"/>
      <c r="L32" s="90"/>
      <c r="M32" s="90"/>
      <c r="N32" s="90"/>
      <c r="O32" s="90"/>
      <c r="P32" s="90"/>
      <c r="Q32" s="176"/>
      <c r="R32" s="139" t="s">
        <v>25</v>
      </c>
      <c r="S32" s="139" t="s">
        <v>25</v>
      </c>
      <c r="T32" s="139" t="s">
        <v>25</v>
      </c>
      <c r="U32" s="139" t="s">
        <v>25</v>
      </c>
      <c r="V32" s="139" t="s">
        <v>25</v>
      </c>
      <c r="W32" s="93" t="s">
        <v>106</v>
      </c>
      <c r="X32" s="139" t="s">
        <v>107</v>
      </c>
      <c r="Y32" s="95"/>
      <c r="Z32" s="95"/>
      <c r="AA32" s="139" t="s">
        <v>104</v>
      </c>
      <c r="AB32" s="95"/>
      <c r="AC32" s="139" t="s">
        <v>104</v>
      </c>
      <c r="AD32" s="139" t="s">
        <v>107</v>
      </c>
    </row>
    <row r="33" spans="1:30" x14ac:dyDescent="0.25">
      <c r="A33" s="90"/>
      <c r="B33" s="90"/>
      <c r="C33" s="90"/>
      <c r="D33" s="90"/>
      <c r="E33" s="90"/>
      <c r="F33" s="90"/>
      <c r="G33" s="90"/>
      <c r="H33" s="90"/>
      <c r="I33" s="90"/>
      <c r="J33" s="90"/>
      <c r="K33" s="90"/>
      <c r="L33" s="90"/>
      <c r="M33" s="90"/>
      <c r="N33" s="90"/>
      <c r="O33" s="90"/>
      <c r="P33" s="90"/>
      <c r="Q33" s="88">
        <v>2023</v>
      </c>
      <c r="R33" s="97">
        <f>E20</f>
        <v>0</v>
      </c>
      <c r="S33" s="97">
        <f>R20</f>
        <v>0</v>
      </c>
      <c r="T33" s="97">
        <f>T20</f>
        <v>0</v>
      </c>
      <c r="U33" s="97">
        <f>U20</f>
        <v>0</v>
      </c>
      <c r="V33" s="97">
        <f>V20</f>
        <v>0</v>
      </c>
      <c r="W33" s="97">
        <f>W20</f>
        <v>0</v>
      </c>
      <c r="X33" s="99">
        <f>+R33+T33+U33+V33+W33</f>
        <v>0</v>
      </c>
      <c r="Y33" s="106"/>
      <c r="Z33" s="106"/>
      <c r="AA33" s="97">
        <f>AA20</f>
        <v>0</v>
      </c>
      <c r="AB33" s="106"/>
      <c r="AC33" s="97">
        <f>AC20</f>
        <v>0</v>
      </c>
      <c r="AD33" s="99">
        <f>U33+V33+W33+AA33+AC33</f>
        <v>0</v>
      </c>
    </row>
    <row r="34" spans="1:30" x14ac:dyDescent="0.25">
      <c r="A34" s="90"/>
      <c r="B34" s="90"/>
      <c r="C34" s="90"/>
      <c r="D34" s="90"/>
      <c r="E34" s="90"/>
      <c r="F34" s="90"/>
      <c r="G34" s="90"/>
      <c r="H34" s="90"/>
      <c r="I34" s="90"/>
      <c r="J34" s="90"/>
      <c r="K34" s="90"/>
      <c r="L34" s="90"/>
      <c r="M34" s="90"/>
      <c r="N34" s="90"/>
      <c r="O34" s="90"/>
      <c r="P34" s="90"/>
      <c r="Q34" s="88">
        <v>2024</v>
      </c>
      <c r="R34" s="97">
        <f>E28</f>
        <v>0</v>
      </c>
      <c r="S34" s="97">
        <f>R28</f>
        <v>0</v>
      </c>
      <c r="T34" s="97">
        <f>T28</f>
        <v>0</v>
      </c>
      <c r="U34" s="97">
        <f>U28</f>
        <v>0</v>
      </c>
      <c r="V34" s="97">
        <f>V28</f>
        <v>0</v>
      </c>
      <c r="W34" s="97">
        <f>W28</f>
        <v>0</v>
      </c>
      <c r="X34" s="99">
        <f>+R34+T34+U34+V34+W34</f>
        <v>0</v>
      </c>
      <c r="Y34" s="106"/>
      <c r="Z34" s="106"/>
      <c r="AA34" s="97">
        <f>AA28</f>
        <v>0</v>
      </c>
      <c r="AB34" s="106"/>
      <c r="AC34" s="97">
        <f>AC28</f>
        <v>0</v>
      </c>
      <c r="AD34" s="99">
        <f>U34+V34+W34+AA34+AC34</f>
        <v>0</v>
      </c>
    </row>
    <row r="35" spans="1:30" x14ac:dyDescent="0.25">
      <c r="A35" s="90"/>
      <c r="B35" s="90"/>
      <c r="C35" s="90"/>
      <c r="D35" s="90"/>
      <c r="E35" s="90"/>
      <c r="F35" s="90"/>
      <c r="G35" s="90"/>
      <c r="H35" s="90"/>
      <c r="I35" s="90"/>
      <c r="J35" s="90"/>
      <c r="K35" s="90"/>
      <c r="L35" s="90"/>
      <c r="M35" s="90"/>
      <c r="N35" s="90"/>
      <c r="O35" s="90"/>
      <c r="P35" s="90"/>
      <c r="Q35" s="88" t="s">
        <v>54</v>
      </c>
      <c r="R35" s="101">
        <f t="shared" ref="R35:X35" si="15">SUM(R33:R34)</f>
        <v>0</v>
      </c>
      <c r="S35" s="101">
        <f>SUM(S33:S34)</f>
        <v>0</v>
      </c>
      <c r="T35" s="101">
        <f t="shared" si="15"/>
        <v>0</v>
      </c>
      <c r="U35" s="101">
        <f t="shared" si="15"/>
        <v>0</v>
      </c>
      <c r="V35" s="101">
        <f t="shared" si="15"/>
        <v>0</v>
      </c>
      <c r="W35" s="101">
        <f t="shared" si="15"/>
        <v>0</v>
      </c>
      <c r="X35" s="101">
        <f t="shared" si="15"/>
        <v>0</v>
      </c>
      <c r="Y35" s="95"/>
      <c r="Z35" s="101"/>
      <c r="AA35" s="107">
        <f>SUM(AA33:AA34)</f>
        <v>0</v>
      </c>
      <c r="AB35" s="101"/>
      <c r="AC35" s="101">
        <f>SUM(AC33:AC34)</f>
        <v>0</v>
      </c>
      <c r="AD35" s="101">
        <f>SUM(AD33:AD34)</f>
        <v>0</v>
      </c>
    </row>
    <row r="36" spans="1:30" x14ac:dyDescent="0.25">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row>
  </sheetData>
  <mergeCells count="47">
    <mergeCell ref="A26:A27"/>
    <mergeCell ref="Q30:X30"/>
    <mergeCell ref="Z30:AD30"/>
    <mergeCell ref="Q31:Q32"/>
    <mergeCell ref="Z23:AA23"/>
    <mergeCell ref="AB23:AC23"/>
    <mergeCell ref="J25:J27"/>
    <mergeCell ref="K25:K27"/>
    <mergeCell ref="L25:L27"/>
    <mergeCell ref="M25:M27"/>
    <mergeCell ref="N25:N27"/>
    <mergeCell ref="O25:O27"/>
    <mergeCell ref="A18:A19"/>
    <mergeCell ref="A22:O22"/>
    <mergeCell ref="Q22:X22"/>
    <mergeCell ref="Z22:AD22"/>
    <mergeCell ref="D23:E23"/>
    <mergeCell ref="F23:G23"/>
    <mergeCell ref="H23:I23"/>
    <mergeCell ref="K23:L23"/>
    <mergeCell ref="M23:O23"/>
    <mergeCell ref="Q23:T23"/>
    <mergeCell ref="Z15:AA15"/>
    <mergeCell ref="AB15:AC15"/>
    <mergeCell ref="J17:J19"/>
    <mergeCell ref="K17:K19"/>
    <mergeCell ref="L17:L19"/>
    <mergeCell ref="M17:M19"/>
    <mergeCell ref="N17:N19"/>
    <mergeCell ref="O17:O19"/>
    <mergeCell ref="A14:O14"/>
    <mergeCell ref="Q14:X14"/>
    <mergeCell ref="Z14:AD14"/>
    <mergeCell ref="D15:E15"/>
    <mergeCell ref="F15:G15"/>
    <mergeCell ref="H15:I15"/>
    <mergeCell ref="K15:L15"/>
    <mergeCell ref="M15:O15"/>
    <mergeCell ref="Q15:T15"/>
    <mergeCell ref="Z12:AD12"/>
    <mergeCell ref="Z13:AD13"/>
    <mergeCell ref="A1:O1"/>
    <mergeCell ref="A2:D2"/>
    <mergeCell ref="J6:N6"/>
    <mergeCell ref="M7:N7"/>
    <mergeCell ref="A12:O12"/>
    <mergeCell ref="Q12:X12"/>
  </mergeCells>
  <dataValidations disablePrompts="1" count="1">
    <dataValidation type="list" allowBlank="1" showInputMessage="1" showErrorMessage="1" sqref="C4" xr:uid="{C383FD7E-55E8-46AB-91DF-91C9BAB7B05F}">
      <formula1>"Indicative , Ferme"</formula1>
    </dataValidation>
  </dataValidation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Réponse technique</vt:lpstr>
      <vt:lpstr>Fichier Client</vt:lpstr>
      <vt:lpstr>BPU-BAT</vt:lpstr>
      <vt:lpstr>BPU-EP</vt:lpstr>
      <vt:lpstr>'Fichier Client'!Zone_d_impression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2020-11-25T07:08:54Z</cp:lastPrinted>
  <dcterms:created xsi:type="dcterms:W3CDTF">2020-09-21T11:23:52Z</dcterms:created>
  <dcterms:modified xsi:type="dcterms:W3CDTF">2022-08-18T08:57:23Z</dcterms:modified>
</cp:coreProperties>
</file>